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удент\Desktop\СКИТУ наука 2025-2026 гг\Отчеты по НД факультета технологий и менеджмента 2025-2026 гг\"/>
    </mc:Choice>
  </mc:AlternateContent>
  <bookViews>
    <workbookView xWindow="0" yWindow="0" windowWidth="24000" windowHeight="9435" tabRatio="924" activeTab="8"/>
  </bookViews>
  <sheets>
    <sheet name="Тит_лист" sheetId="1" r:id="rId1"/>
    <sheet name="1" sheetId="2" r:id="rId2"/>
    <sheet name="2" sheetId="3" r:id="rId3"/>
    <sheet name="3" sheetId="4" state="hidden" r:id="rId4"/>
    <sheet name="4" sheetId="5" r:id="rId5"/>
    <sheet name="5" sheetId="6" r:id="rId6"/>
    <sheet name="6" sheetId="7" r:id="rId7"/>
    <sheet name="7" sheetId="8" r:id="rId8"/>
    <sheet name="8" sheetId="9" r:id="rId9"/>
    <sheet name="9" sheetId="10" state="hidden" r:id="rId10"/>
    <sheet name="10" sheetId="11" r:id="rId11"/>
    <sheet name="11" sheetId="12" r:id="rId12"/>
    <sheet name="12" sheetId="13" r:id="rId13"/>
    <sheet name="13" sheetId="14" state="hidden" r:id="rId14"/>
    <sheet name="Выбор" sheetId="15" r:id="rId15"/>
  </sheets>
  <definedNames>
    <definedName name="Excel_BuiltIn_Print_Titles" localSheetId="1">'1'!$9:$9</definedName>
    <definedName name="Excel_BuiltIn_Print_Titles" localSheetId="10">'10'!$6:$6</definedName>
    <definedName name="Excel_BuiltIn_Print_Titles" localSheetId="11">'11'!$8:$8</definedName>
    <definedName name="Excel_BuiltIn_Print_Titles" localSheetId="12">'12'!$16:$16</definedName>
    <definedName name="Excel_BuiltIn_Print_Titles" localSheetId="13">'13'!$9:$10</definedName>
    <definedName name="Excel_BuiltIn_Print_Titles" localSheetId="2">'2'!$13:$13</definedName>
    <definedName name="Excel_BuiltIn_Print_Titles" localSheetId="3">'3'!$21:$21</definedName>
    <definedName name="Excel_BuiltIn_Print_Titles" localSheetId="4">'4'!$14:$14</definedName>
    <definedName name="Excel_BuiltIn_Print_Titles" localSheetId="5">'5'!$8:$8</definedName>
    <definedName name="Excel_BuiltIn_Print_Titles" localSheetId="6">'6'!$9:$9</definedName>
    <definedName name="Excel_BuiltIn_Print_Titles" localSheetId="7">'7'!$13:$13</definedName>
    <definedName name="Excel_BuiltIn_Print_Titles" localSheetId="8">'8'!$15:$15</definedName>
    <definedName name="Excel_BuiltIn_Print_Titles" localSheetId="9">'9'!$3:$3</definedName>
    <definedName name="Print_Titles" localSheetId="1">'1'!$9:$9</definedName>
    <definedName name="Print_Titles" localSheetId="10">'10'!$6:$6</definedName>
    <definedName name="Print_Titles" localSheetId="11">'11'!$8:$8</definedName>
    <definedName name="Print_Titles" localSheetId="12">'12'!$16:$16</definedName>
    <definedName name="Print_Titles" localSheetId="13">'13'!$9:$10</definedName>
    <definedName name="Print_Titles" localSheetId="2">'2'!$13:$13</definedName>
    <definedName name="Print_Titles" localSheetId="3">'3'!$21:$21</definedName>
    <definedName name="Print_Titles" localSheetId="4">'4'!$14:$14</definedName>
    <definedName name="Print_Titles" localSheetId="5">'5'!$8:$8</definedName>
    <definedName name="Print_Titles" localSheetId="6">'6'!$9:$9</definedName>
    <definedName name="Print_Titles" localSheetId="7">'7'!$13:$13</definedName>
    <definedName name="Print_Titles" localSheetId="8">'8'!$15:$15</definedName>
    <definedName name="Print_Titles" localSheetId="9">'9'!$3:$3</definedName>
    <definedName name="ВидИзд">Выбор!$B$58:$B$60</definedName>
    <definedName name="ВидНИР">Выбор!$B$95:$B$97</definedName>
    <definedName name="Должность">Выбор!$B$83:$B$88</definedName>
    <definedName name="Звание">Выбор!$B$79:$B$81</definedName>
    <definedName name="Издатель">Выбор!$B$62:$B$65</definedName>
    <definedName name="Источник">Выбор!$B$99:$B$106</definedName>
    <definedName name="Категория">Выбор!$B$90:$B$93</definedName>
    <definedName name="Место">Выбор!$B$72:$B$73</definedName>
    <definedName name="_xlnm.Print_Area" localSheetId="1">'1'!$A$1:$Z$58</definedName>
    <definedName name="_xlnm.Print_Area" localSheetId="10">'10'!$A$1:$G$31</definedName>
    <definedName name="_xlnm.Print_Area" localSheetId="11">'11'!$A$1:$I$33</definedName>
    <definedName name="_xlnm.Print_Area" localSheetId="12">'12'!$A$1:$P$38</definedName>
    <definedName name="_xlnm.Print_Area" localSheetId="2">'2'!$A$1:$G$31</definedName>
    <definedName name="_xlnm.Print_Area" localSheetId="3">'3'!$A$1:$H$30</definedName>
    <definedName name="_xlnm.Print_Area" localSheetId="4">'4'!$A$1:$J$34</definedName>
    <definedName name="_xlnm.Print_Area" localSheetId="5">'5'!$A$1:$G$28</definedName>
    <definedName name="_xlnm.Print_Area" localSheetId="8">'8'!$A$1:$K$33</definedName>
    <definedName name="_xlnm.Print_Area" localSheetId="9">'9'!$A$1:$G$28</definedName>
    <definedName name="_xlnm.Print_Area" localSheetId="0">Тит_лист!$B$1:$F$16</definedName>
    <definedName name="Рецензия">Выбор!$B$67:$B$70</definedName>
    <definedName name="Статус">Выбор!$B$55:$B$56</definedName>
    <definedName name="Статус2">Выбор!$B$111:$B$112</definedName>
    <definedName name="Степень">Выбор!$B$75:$B$77</definedName>
    <definedName name="Тип">Выбор!$B$108:$B$109</definedName>
    <definedName name="Уровень">Выбор!$B$1:$B$4</definedName>
    <definedName name="Уровень2">Выбор!$B$6:$B$14</definedName>
    <definedName name="Уровень3">Выбор!$B$16:$B$25</definedName>
    <definedName name="Уровень4">Выбор!$B$27:$B$34</definedName>
    <definedName name="Уровень5">Выбор!$B$36:$B$37</definedName>
    <definedName name="Участники">Выбор!$B$39:$B$41</definedName>
    <definedName name="Участники2">Выбор!$B$43:$B$45</definedName>
    <definedName name="Форма">Выбор!$B$47:$B$50</definedName>
    <definedName name="Форма2">Выбор!$B$52:$B$53</definedName>
  </definedNames>
  <calcPr calcId="152511"/>
</workbook>
</file>

<file path=xl/calcChain.xml><?xml version="1.0" encoding="utf-8"?>
<calcChain xmlns="http://schemas.openxmlformats.org/spreadsheetml/2006/main">
  <c r="G11" i="8" l="1"/>
  <c r="G9" i="8"/>
  <c r="G8" i="8"/>
  <c r="G7" i="8"/>
  <c r="G6" i="8"/>
  <c r="G5" i="8"/>
  <c r="G4" i="8"/>
  <c r="F5" i="8"/>
  <c r="F6" i="8"/>
  <c r="F7" i="8"/>
  <c r="F8" i="8"/>
  <c r="F9" i="8"/>
  <c r="F10" i="8"/>
  <c r="F11" i="8"/>
  <c r="F4" i="8"/>
  <c r="E8" i="8" l="1"/>
  <c r="E7" i="8"/>
  <c r="E6" i="8"/>
  <c r="E5" i="8"/>
  <c r="E9" i="8"/>
  <c r="E11" i="8"/>
  <c r="E4" i="8"/>
  <c r="A19" i="2" l="1"/>
  <c r="A11" i="2"/>
  <c r="K24" i="14" l="1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N14" i="13"/>
  <c r="J14" i="13"/>
  <c r="G14" i="13"/>
  <c r="N13" i="13"/>
  <c r="J13" i="13"/>
  <c r="G13" i="13"/>
  <c r="N12" i="13"/>
  <c r="J12" i="13"/>
  <c r="G12" i="13"/>
  <c r="N11" i="13"/>
  <c r="J11" i="13"/>
  <c r="G11" i="13"/>
  <c r="N10" i="13"/>
  <c r="J10" i="13"/>
  <c r="G10" i="13"/>
  <c r="N9" i="13"/>
  <c r="J9" i="13"/>
  <c r="G9" i="13"/>
  <c r="N8" i="13"/>
  <c r="J8" i="13"/>
  <c r="G8" i="13"/>
  <c r="N7" i="13"/>
  <c r="J7" i="13"/>
  <c r="G7" i="13"/>
  <c r="N6" i="13"/>
  <c r="J6" i="13"/>
  <c r="J5" i="13" s="1"/>
  <c r="G6" i="13"/>
  <c r="N4" i="13"/>
  <c r="J4" i="13"/>
  <c r="G4" i="13"/>
  <c r="G7" i="12"/>
  <c r="F7" i="12"/>
  <c r="E7" i="12"/>
  <c r="G6" i="12"/>
  <c r="F6" i="12"/>
  <c r="E6" i="12"/>
  <c r="G5" i="12"/>
  <c r="F5" i="12"/>
  <c r="E5" i="12"/>
  <c r="G4" i="12"/>
  <c r="F4" i="12"/>
  <c r="F3" i="12" s="1"/>
  <c r="E4" i="12"/>
  <c r="G5" i="11"/>
  <c r="F5" i="11"/>
  <c r="G4" i="11"/>
  <c r="G3" i="11" s="1"/>
  <c r="F4" i="11"/>
  <c r="G13" i="9"/>
  <c r="F13" i="9"/>
  <c r="E13" i="9"/>
  <c r="G12" i="9"/>
  <c r="F12" i="9"/>
  <c r="E12" i="9"/>
  <c r="G11" i="9"/>
  <c r="F11" i="9"/>
  <c r="E11" i="9"/>
  <c r="G10" i="9"/>
  <c r="F10" i="9"/>
  <c r="E10" i="9"/>
  <c r="G9" i="9"/>
  <c r="F9" i="9"/>
  <c r="E9" i="9"/>
  <c r="G8" i="9"/>
  <c r="F8" i="9"/>
  <c r="E8" i="9"/>
  <c r="G7" i="9"/>
  <c r="F7" i="9"/>
  <c r="E7" i="9"/>
  <c r="G6" i="9"/>
  <c r="F6" i="9"/>
  <c r="E6" i="9"/>
  <c r="G5" i="9"/>
  <c r="F5" i="9"/>
  <c r="E5" i="9"/>
  <c r="G4" i="9"/>
  <c r="F4" i="9"/>
  <c r="E4" i="9"/>
  <c r="G10" i="8"/>
  <c r="E10" i="8"/>
  <c r="H7" i="7"/>
  <c r="F7" i="7"/>
  <c r="E7" i="7"/>
  <c r="H6" i="7"/>
  <c r="F6" i="7"/>
  <c r="E6" i="7"/>
  <c r="H5" i="7"/>
  <c r="F5" i="7"/>
  <c r="E5" i="7"/>
  <c r="H4" i="7"/>
  <c r="F4" i="7"/>
  <c r="E4" i="7"/>
  <c r="G7" i="6"/>
  <c r="F7" i="6"/>
  <c r="E7" i="6"/>
  <c r="G6" i="6"/>
  <c r="F6" i="6"/>
  <c r="E6" i="6"/>
  <c r="G5" i="6"/>
  <c r="F5" i="6"/>
  <c r="E5" i="6"/>
  <c r="G4" i="6"/>
  <c r="F4" i="6"/>
  <c r="E4" i="6"/>
  <c r="J12" i="5"/>
  <c r="I12" i="5"/>
  <c r="H12" i="5"/>
  <c r="G12" i="5"/>
  <c r="F12" i="5"/>
  <c r="E12" i="5"/>
  <c r="J11" i="5"/>
  <c r="I11" i="5"/>
  <c r="H11" i="5"/>
  <c r="G11" i="5"/>
  <c r="F11" i="5"/>
  <c r="E11" i="5"/>
  <c r="J10" i="5"/>
  <c r="I10" i="5"/>
  <c r="H10" i="5"/>
  <c r="G10" i="5"/>
  <c r="F10" i="5"/>
  <c r="E10" i="5"/>
  <c r="J9" i="5"/>
  <c r="I9" i="5"/>
  <c r="H9" i="5"/>
  <c r="G9" i="5"/>
  <c r="F9" i="5"/>
  <c r="E9" i="5"/>
  <c r="J8" i="5"/>
  <c r="I8" i="5"/>
  <c r="H8" i="5"/>
  <c r="G8" i="5"/>
  <c r="F8" i="5"/>
  <c r="E8" i="5"/>
  <c r="J7" i="5"/>
  <c r="I7" i="5"/>
  <c r="H7" i="5"/>
  <c r="G7" i="5"/>
  <c r="F7" i="5"/>
  <c r="E7" i="5"/>
  <c r="J6" i="5"/>
  <c r="I6" i="5"/>
  <c r="H6" i="5"/>
  <c r="G6" i="5"/>
  <c r="F6" i="5"/>
  <c r="E6" i="5"/>
  <c r="J5" i="5"/>
  <c r="I5" i="5"/>
  <c r="H5" i="5"/>
  <c r="G5" i="5"/>
  <c r="F5" i="5"/>
  <c r="E5" i="5"/>
  <c r="J4" i="5"/>
  <c r="J3" i="5" s="1"/>
  <c r="I4" i="5"/>
  <c r="H4" i="5"/>
  <c r="G4" i="5"/>
  <c r="F4" i="5"/>
  <c r="F3" i="5" s="1"/>
  <c r="E4" i="5"/>
  <c r="G12" i="3"/>
  <c r="F12" i="3"/>
  <c r="E12" i="3"/>
  <c r="G11" i="3"/>
  <c r="F11" i="3"/>
  <c r="E11" i="3"/>
  <c r="G10" i="3"/>
  <c r="F10" i="3"/>
  <c r="F8" i="3" s="1"/>
  <c r="E10" i="3"/>
  <c r="G9" i="3"/>
  <c r="G8" i="3" s="1"/>
  <c r="F9" i="3"/>
  <c r="E9" i="3"/>
  <c r="E8" i="3" s="1"/>
  <c r="G7" i="3"/>
  <c r="F7" i="3"/>
  <c r="E7" i="3"/>
  <c r="G6" i="3"/>
  <c r="F6" i="3"/>
  <c r="E6" i="3"/>
  <c r="G5" i="3"/>
  <c r="F5" i="3"/>
  <c r="E5" i="3"/>
  <c r="G4" i="3"/>
  <c r="F4" i="3"/>
  <c r="F3" i="3" s="1"/>
  <c r="E4" i="3"/>
  <c r="A12" i="2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F4" i="2"/>
  <c r="H3" i="5" l="1"/>
  <c r="G4" i="7"/>
  <c r="H3" i="7"/>
  <c r="F3" i="7"/>
  <c r="G5" i="7"/>
  <c r="G7" i="7"/>
  <c r="G3" i="3"/>
  <c r="E3" i="8"/>
  <c r="E3" i="3"/>
  <c r="G3" i="5"/>
  <c r="E3" i="7"/>
  <c r="G3" i="12"/>
  <c r="E3" i="12"/>
  <c r="N5" i="13"/>
  <c r="F8" i="13"/>
  <c r="F12" i="13"/>
  <c r="G6" i="7"/>
  <c r="F7" i="13"/>
  <c r="F11" i="13"/>
  <c r="F3" i="6"/>
  <c r="G3" i="6"/>
  <c r="E3" i="6"/>
  <c r="G3" i="9"/>
  <c r="F3" i="9"/>
  <c r="H3" i="2"/>
  <c r="G5" i="13"/>
  <c r="F9" i="13"/>
  <c r="F13" i="13"/>
  <c r="F4" i="13"/>
  <c r="F6" i="13"/>
  <c r="F10" i="13"/>
  <c r="F14" i="13"/>
  <c r="E3" i="5"/>
  <c r="I3" i="5"/>
  <c r="G3" i="2"/>
  <c r="F3" i="2"/>
  <c r="E3" i="9"/>
  <c r="F3" i="11"/>
  <c r="F3" i="8"/>
  <c r="G3" i="8"/>
  <c r="G3" i="7" l="1"/>
  <c r="F5" i="13"/>
</calcChain>
</file>

<file path=xl/comments1.xml><?xml version="1.0" encoding="utf-8"?>
<comments xmlns="http://schemas.openxmlformats.org/spreadsheetml/2006/main">
  <authors>
    <author/>
  </authors>
  <commentList>
    <comment ref="F4" authorId="0" shapeId="0">
      <text>
        <r>
          <rPr>
            <b/>
            <sz val="9"/>
            <rFont val="Tahoma"/>
            <family val="2"/>
            <charset val="204"/>
          </rPr>
          <t xml:space="preserve"> :</t>
        </r>
        <r>
          <rPr>
            <sz val="9"/>
            <rFont val="Tahoma"/>
            <family val="2"/>
            <charset val="204"/>
          </rPr>
          <t xml:space="preserve">
студент:
Индекс хирша</t>
        </r>
      </text>
    </comment>
  </commentList>
</comments>
</file>

<file path=xl/sharedStrings.xml><?xml version="1.0" encoding="utf-8"?>
<sst xmlns="http://schemas.openxmlformats.org/spreadsheetml/2006/main" count="621" uniqueCount="351">
  <si>
    <t>наименование документа</t>
  </si>
  <si>
    <t>отчетный год</t>
  </si>
  <si>
    <t>наименование кафедры</t>
  </si>
  <si>
    <t>Заведующий кафедрой</t>
  </si>
  <si>
    <t>лицо, ответственное за предоставление информации</t>
  </si>
  <si>
    <t>подпись</t>
  </si>
  <si>
    <t>расшифровка подписи (ФИО)</t>
  </si>
  <si>
    <t>лицо, подтверждающее предоставленную информацию</t>
  </si>
  <si>
    <t>№</t>
  </si>
  <si>
    <t>Показатель</t>
  </si>
  <si>
    <t>Значение</t>
  </si>
  <si>
    <t>НПР</t>
  </si>
  <si>
    <t>Аспиранты</t>
  </si>
  <si>
    <t>Студенты</t>
  </si>
  <si>
    <t>Количество научных и научно-практических конференций, симпозиумов, семинаров, совещаний, в которых принимали участие в отчетном году, ед.:</t>
  </si>
  <si>
    <t>из них:</t>
  </si>
  <si>
    <t>международного уровня</t>
  </si>
  <si>
    <t>в т.ч. за рубежом</t>
  </si>
  <si>
    <t>федерального уровня</t>
  </si>
  <si>
    <t>в т.ч. "Череповецкие научные чтения"</t>
  </si>
  <si>
    <t>регионального уровня</t>
  </si>
  <si>
    <t>№ п/п</t>
  </si>
  <si>
    <t>Наименование конференции</t>
  </si>
  <si>
    <t>Уровень</t>
  </si>
  <si>
    <t>ФИО участника</t>
  </si>
  <si>
    <t>Форма участия</t>
  </si>
  <si>
    <t>Дата проведения</t>
  </si>
  <si>
    <t>Место проведения</t>
  </si>
  <si>
    <t>3) регионального уровня</t>
  </si>
  <si>
    <t>Смирнова Е.А.</t>
  </si>
  <si>
    <t>доклад</t>
  </si>
  <si>
    <t>студенты</t>
  </si>
  <si>
    <t>из них входит в РИНЦ (федерального уровня)</t>
  </si>
  <si>
    <t>аспиранты</t>
  </si>
  <si>
    <t>Лавров В.В.</t>
  </si>
  <si>
    <t>1) международного уровня</t>
  </si>
  <si>
    <t>Лягинов Н.М.</t>
  </si>
  <si>
    <t>Мухин В.В.</t>
  </si>
  <si>
    <t>заочное участие</t>
  </si>
  <si>
    <t>Лягинова О.Ю.</t>
  </si>
  <si>
    <t>очное участие без доклада</t>
  </si>
  <si>
    <t>Кашинцева О.А.</t>
  </si>
  <si>
    <t>Плотникова Н.В.</t>
  </si>
  <si>
    <t>Грибкова Ю.В.</t>
  </si>
  <si>
    <t>2.1</t>
  </si>
  <si>
    <t>Количество выставок, в которых принимали участие в отчетном году, ед.:</t>
  </si>
  <si>
    <t>2.2</t>
  </si>
  <si>
    <t>Количество экспонатов, представленных на выставках, ед.:</t>
  </si>
  <si>
    <t>Наименование выставки</t>
  </si>
  <si>
    <t>Количество экспонатов</t>
  </si>
  <si>
    <t>Время проведения</t>
  </si>
  <si>
    <t>3 Патентная активность</t>
  </si>
  <si>
    <t>Число заявок на получение патентов (свидетельств), поданных</t>
  </si>
  <si>
    <t>Число заявок на получение патентов (свидетельств), полученных</t>
  </si>
  <si>
    <t>Число действующих (поддерживаемых) патентов (свидетельств), полученных</t>
  </si>
  <si>
    <t>в России</t>
  </si>
  <si>
    <t>за рубежом</t>
  </si>
  <si>
    <t>Научно-педагогические работники</t>
  </si>
  <si>
    <t>Изобретения</t>
  </si>
  <si>
    <t>Полезные модели</t>
  </si>
  <si>
    <t>Промышленные образцы</t>
  </si>
  <si>
    <t>Товарные знаки</t>
  </si>
  <si>
    <t>Базы данных</t>
  </si>
  <si>
    <t>Типологии интегральных микросхем</t>
  </si>
  <si>
    <t>Программы для ЭВМ</t>
  </si>
  <si>
    <t>Селекционные достижения</t>
  </si>
  <si>
    <r>
      <rPr>
        <b/>
        <u/>
        <sz val="10"/>
        <color indexed="2"/>
        <rFont val="Arial Narrow"/>
        <family val="2"/>
        <charset val="204"/>
      </rPr>
      <t>Примечание</t>
    </r>
    <r>
      <rPr>
        <b/>
        <sz val="10"/>
        <color indexed="2"/>
        <rFont val="Arial Narrow"/>
        <family val="2"/>
        <charset val="204"/>
      </rPr>
      <t>: к отчету прилагаются сканированные копии полученных патентов (свидетельств).</t>
    </r>
  </si>
  <si>
    <t>Значение (выигранных грантов)</t>
  </si>
  <si>
    <t>Значение (поданных заявок)</t>
  </si>
  <si>
    <t>Количество выигранных в отчетном году грантов / заявок, представленных на конкурсы грантов в отчетном году, ед.:</t>
  </si>
  <si>
    <t>зарубежный</t>
  </si>
  <si>
    <t>федеральный (государственное задание)</t>
  </si>
  <si>
    <t>федеральный (Минобрнауки России, др. министерства и ведомства)</t>
  </si>
  <si>
    <t>федеральный (РГНФ)</t>
  </si>
  <si>
    <t>федеральный (РФФИ)</t>
  </si>
  <si>
    <t>федеральный (РНФ)</t>
  </si>
  <si>
    <t>прочие фонды и организации</t>
  </si>
  <si>
    <t>внутренний (ЧГУ)</t>
  </si>
  <si>
    <t>Название темы</t>
  </si>
  <si>
    <t>ФИО руководителя</t>
  </si>
  <si>
    <t>Год подачи заявки</t>
  </si>
  <si>
    <t>Статус</t>
  </si>
  <si>
    <t>Область знаний по ГРНТИ</t>
  </si>
  <si>
    <t>Срок действия</t>
  </si>
  <si>
    <t>Сумма гранта (тыс. руб.)</t>
  </si>
  <si>
    <t>Заявки</t>
  </si>
  <si>
    <t>подана заявка</t>
  </si>
  <si>
    <t>выигран грант</t>
  </si>
  <si>
    <t>Награды (премии, дипломы и т.п.) за научные и научно-методические достижения, полученные в отчетном году, ед.:</t>
  </si>
  <si>
    <t>Наименование награды</t>
  </si>
  <si>
    <t>ФИО награжденных</t>
  </si>
  <si>
    <t>учебник</t>
  </si>
  <si>
    <t>учебное пособие</t>
  </si>
  <si>
    <t>в т.ч. с рецензией</t>
  </si>
  <si>
    <t>монография</t>
  </si>
  <si>
    <t>из них изданы:</t>
  </si>
  <si>
    <t>зарубежными издательствами</t>
  </si>
  <si>
    <t>в т.ч. на иностранном языке</t>
  </si>
  <si>
    <t>российскими издательствами</t>
  </si>
  <si>
    <t>изданы в ЧГУ</t>
  </si>
  <si>
    <t>Наименование издания</t>
  </si>
  <si>
    <t>Вид издания</t>
  </si>
  <si>
    <t>Издательство</t>
  </si>
  <si>
    <t>ФИО авторов</t>
  </si>
  <si>
    <t>Рецензия УГУ, гриф</t>
  </si>
  <si>
    <t>Объем, п.л.</t>
  </si>
  <si>
    <t>Тираж, экз.</t>
  </si>
  <si>
    <t>Количество опубликованных научных статей, опубликованных в отчетном году, ед.:</t>
  </si>
  <si>
    <r>
      <rPr>
        <sz val="10"/>
        <color indexed="64"/>
        <rFont val="Arial Narrow"/>
        <family val="2"/>
        <charset val="204"/>
      </rPr>
      <t xml:space="preserve">в журналах, индексируемых международными системами цитирования: </t>
    </r>
    <r>
      <rPr>
        <b/>
        <sz val="10"/>
        <color indexed="64"/>
        <rFont val="Arial Narrow"/>
        <family val="2"/>
        <charset val="204"/>
      </rPr>
      <t>Web of Science</t>
    </r>
  </si>
  <si>
    <t>в том числе на английском языке</t>
  </si>
  <si>
    <r>
      <rPr>
        <sz val="10"/>
        <color indexed="64"/>
        <rFont val="Arial Narrow"/>
        <family val="2"/>
        <charset val="204"/>
      </rPr>
      <t xml:space="preserve">в журналах, индексируемых международными системами цитирования: </t>
    </r>
    <r>
      <rPr>
        <b/>
        <sz val="10"/>
        <color indexed="64"/>
        <rFont val="Arial Narrow"/>
        <family val="2"/>
        <charset val="204"/>
      </rPr>
      <t>Scopus</t>
    </r>
  </si>
  <si>
    <r>
      <rPr>
        <sz val="10"/>
        <color indexed="64"/>
        <rFont val="Arial Narrow"/>
        <family val="2"/>
        <charset val="204"/>
      </rPr>
      <t>в журналах</t>
    </r>
    <r>
      <rPr>
        <b/>
        <sz val="10"/>
        <color indexed="64"/>
        <rFont val="Arial Narrow"/>
        <family val="2"/>
        <charset val="204"/>
      </rPr>
      <t xml:space="preserve"> РИНЦ</t>
    </r>
  </si>
  <si>
    <r>
      <rPr>
        <sz val="10"/>
        <color indexed="64"/>
        <rFont val="Arial Narrow"/>
        <family val="2"/>
        <charset val="204"/>
      </rPr>
      <t xml:space="preserve">в журналах, рекомендованных </t>
    </r>
    <r>
      <rPr>
        <b/>
        <sz val="10"/>
        <color indexed="64"/>
        <rFont val="Arial Narrow"/>
        <family val="2"/>
        <charset val="204"/>
      </rPr>
      <t>ВАК</t>
    </r>
  </si>
  <si>
    <r>
      <rPr>
        <sz val="10"/>
        <color indexed="64"/>
        <rFont val="Arial Narrow"/>
        <family val="2"/>
        <charset val="204"/>
      </rPr>
      <t>в научном журнале «</t>
    </r>
    <r>
      <rPr>
        <b/>
        <sz val="10"/>
        <color indexed="64"/>
        <rFont val="Arial Narrow"/>
        <family val="2"/>
        <charset val="204"/>
      </rPr>
      <t>Вестник ЧГУ</t>
    </r>
    <r>
      <rPr>
        <sz val="10"/>
        <color indexed="64"/>
        <rFont val="Arial Narrow"/>
        <family val="2"/>
        <charset val="204"/>
      </rPr>
      <t>»</t>
    </r>
  </si>
  <si>
    <t>другое</t>
  </si>
  <si>
    <t>Название статьи</t>
  </si>
  <si>
    <t>Уровень журнала</t>
  </si>
  <si>
    <t>Название журнала / год издания, номер журнала, страницы</t>
  </si>
  <si>
    <t>Импакт-фактор журнала</t>
  </si>
  <si>
    <t>Scopus на английском языке</t>
  </si>
  <si>
    <t>нет</t>
  </si>
  <si>
    <t>Количество публикаций по материалам выступлений на конференциях в отчетном году, ед.:</t>
  </si>
  <si>
    <t>из них конференции:</t>
  </si>
  <si>
    <t>в т.ч. издано на иностранном языке</t>
  </si>
  <si>
    <t>2) федерального уровня</t>
  </si>
  <si>
    <t>из них входит в РИНЦ</t>
  </si>
  <si>
    <t>в т.ч. "Дебют"</t>
  </si>
  <si>
    <t>Уровень конференции</t>
  </si>
  <si>
    <t>Название сборника / год издания, номер, страницы</t>
  </si>
  <si>
    <t>очная</t>
  </si>
  <si>
    <t>заочная</t>
  </si>
  <si>
    <t>Индекс цитирования штатных преподавателей кафедры</t>
  </si>
  <si>
    <t>ФИО преподавателя</t>
  </si>
  <si>
    <t>Ученая степень</t>
  </si>
  <si>
    <t>Ученое звание</t>
  </si>
  <si>
    <t>Должность ППС</t>
  </si>
  <si>
    <t>Индекс цитирования по данным РИНЦ</t>
  </si>
  <si>
    <t xml:space="preserve">Ссылка на источник информации в http://elibrary.ru  </t>
  </si>
  <si>
    <t>кандидат наук</t>
  </si>
  <si>
    <t>доцент</t>
  </si>
  <si>
    <t>заведующий кафедрой</t>
  </si>
  <si>
    <t>http://elibrary.ru/author_profile.asp?id=643782</t>
  </si>
  <si>
    <t>http://elibrary.ru/author_profile.asp?id=712856</t>
  </si>
  <si>
    <t>http://elibrary.ru/author_profile.asp?id=340548</t>
  </si>
  <si>
    <t>http://elibrary.ru/author_profile.asp?id=646561</t>
  </si>
  <si>
    <t>доктор наук</t>
  </si>
  <si>
    <t>профессор</t>
  </si>
  <si>
    <t>http://elibrary.ru/author_profile.asp?id=103214</t>
  </si>
  <si>
    <t>Толстиков А.В.</t>
  </si>
  <si>
    <t>http://elibrary.ru/authors.asp</t>
  </si>
  <si>
    <t>http://elibrary.ru/author_profile.asp?id=713665</t>
  </si>
  <si>
    <t>Парыгина С.А.</t>
  </si>
  <si>
    <t>http://elibrary.ru/author_profile.asp?id=552319</t>
  </si>
  <si>
    <t>ассистент</t>
  </si>
  <si>
    <t>https://www.elibrary.ru/author_profile.asp?id=868118</t>
  </si>
  <si>
    <t>старший преподаватель</t>
  </si>
  <si>
    <t>Полеводова Л.А.</t>
  </si>
  <si>
    <t>https://elibrary.ru/author_profile.asp?id=905845</t>
  </si>
  <si>
    <t>Докторанты</t>
  </si>
  <si>
    <t>Количество преподавателей и сотрудников кафедры, являющихся по состоянию на 31.12. отчетного года аспирантами и докторантами, чел.:</t>
  </si>
  <si>
    <t>докторанты и аспиранты других вузов</t>
  </si>
  <si>
    <t>ФИО преподавателя / сотрудника кафедры</t>
  </si>
  <si>
    <t>Категория персонала</t>
  </si>
  <si>
    <t>Вуз</t>
  </si>
  <si>
    <t>Код и наименование специальности научных работников</t>
  </si>
  <si>
    <t>ИТР</t>
  </si>
  <si>
    <t>аспирант / соискатель</t>
  </si>
  <si>
    <t>Соискатели ученой степени</t>
  </si>
  <si>
    <t>Количество диссертаций, защищенных в отчетном году, ед.:</t>
  </si>
  <si>
    <t>кандидатских</t>
  </si>
  <si>
    <t>докторских</t>
  </si>
  <si>
    <t>ФИО диссертанта</t>
  </si>
  <si>
    <t>Диссертация</t>
  </si>
  <si>
    <t>Диссертант</t>
  </si>
  <si>
    <t>Шифр совета</t>
  </si>
  <si>
    <t>Дата защиты (дд.мм.гггг)</t>
  </si>
  <si>
    <t>Место защиты</t>
  </si>
  <si>
    <t>Всего</t>
  </si>
  <si>
    <t>в том числе:</t>
  </si>
  <si>
    <t>фундаментальные</t>
  </si>
  <si>
    <t>прикладные</t>
  </si>
  <si>
    <t>разработки</t>
  </si>
  <si>
    <t>12.1</t>
  </si>
  <si>
    <t>Количество научно-исследовательских работ (НИР), выполненных на кафедре в отчетном году, ед.</t>
  </si>
  <si>
    <t>12.2</t>
  </si>
  <si>
    <t>Общий объем финансирования НИР, выполненных на кафедре в отчетном году, тыс. руб.</t>
  </si>
  <si>
    <t>собственные средства</t>
  </si>
  <si>
    <t>средства учредителей</t>
  </si>
  <si>
    <t>средства Минобрнауки России</t>
  </si>
  <si>
    <t>средства других министерств, агентств, служб, РАН, отраслевых академий</t>
  </si>
  <si>
    <t>средства различных российских научных фондов (РФФИ, РГНФ и др.)</t>
  </si>
  <si>
    <t>средства субъектов Российской Федерации, местных бюджетов</t>
  </si>
  <si>
    <t>средства хоздоговоров</t>
  </si>
  <si>
    <t>средства зарубежных контрактов и грантов</t>
  </si>
  <si>
    <t>средства из других источников</t>
  </si>
  <si>
    <t>Тема НИР</t>
  </si>
  <si>
    <t>Программа, в рамках которой выполняется НИР (если есть)</t>
  </si>
  <si>
    <t>Вид НИР</t>
  </si>
  <si>
    <t>Источник финансирования</t>
  </si>
  <si>
    <t>Наименование организации</t>
  </si>
  <si>
    <t>Руководитель НИР</t>
  </si>
  <si>
    <t>Участники НИР, чел.:</t>
  </si>
  <si>
    <t>Объем финанси-рования НИР (тыс. руб.)</t>
  </si>
  <si>
    <t>в т.ч. освоено собст-венными силами</t>
  </si>
  <si>
    <t>ФИО</t>
  </si>
  <si>
    <t>ППС</t>
  </si>
  <si>
    <t>аспи-ранты</t>
  </si>
  <si>
    <t>сту-денты</t>
  </si>
  <si>
    <t>Основные научные направления (научные школы) кафедры</t>
  </si>
  <si>
    <t>Название научного направления (научной школы)_1</t>
  </si>
  <si>
    <t>Ведущие ученые
в данной области
(1-3 человека):</t>
  </si>
  <si>
    <t>Должность</t>
  </si>
  <si>
    <t>Показатели за последние 6 лет</t>
  </si>
  <si>
    <t>Год</t>
  </si>
  <si>
    <t>Итого за 6 лет</t>
  </si>
  <si>
    <t xml:space="preserve">Количество защищенных диссертаций основного научно-педагогического персонала ЧГУ по данному научному направлению за последние 6 лет </t>
  </si>
  <si>
    <t xml:space="preserve">Количество изданных монографий по данному направлению за последние 6 лет </t>
  </si>
  <si>
    <t>Количество изданных и принятых к публикации статей в изданиях, рекомендованных ВАК для публикации научных работ за последние 6 лет</t>
  </si>
  <si>
    <t>Количество изданных и принятых к публикации статей в зарубежных изданиях за последние 6 лет</t>
  </si>
  <si>
    <t xml:space="preserve">Количество патентов, полученных на разработки за последние 6 лет: </t>
  </si>
  <si>
    <t>российских</t>
  </si>
  <si>
    <t xml:space="preserve">зарубежных </t>
  </si>
  <si>
    <t xml:space="preserve">Количество свидетельств о регистрации объекта интеллектуальной собственности, выданных на разработки за последние 6 лет </t>
  </si>
  <si>
    <t>Количество международных и (или) всероссийских научных и (или) научно-практических конференций в течение 6 лет:</t>
  </si>
  <si>
    <t>всего</t>
  </si>
  <si>
    <t xml:space="preserve">из них с изданием сборника трудов </t>
  </si>
  <si>
    <t xml:space="preserve">Количество мастер-классов, проведенных в течение 6 лет </t>
  </si>
  <si>
    <t>Объем финансирования научных исследований за 6 лет (тыс. руб.):</t>
  </si>
  <si>
    <t>фундамен-тальных</t>
  </si>
  <si>
    <t>прикладных</t>
  </si>
  <si>
    <t>разработок</t>
  </si>
  <si>
    <t>международный</t>
  </si>
  <si>
    <t>федеральный</t>
  </si>
  <si>
    <t>региональный</t>
  </si>
  <si>
    <t>Уровень2</t>
  </si>
  <si>
    <t>Уровень3</t>
  </si>
  <si>
    <t>в т.ч. за рубежом (международного уровня)</t>
  </si>
  <si>
    <t>в т.ч. на иностранном языке (международного уровня)</t>
  </si>
  <si>
    <t>Уровень4</t>
  </si>
  <si>
    <t>Web of Science</t>
  </si>
  <si>
    <t>в зарубежных журналах, индексируемых международными системами цитирования Scopus, Web of Science</t>
  </si>
  <si>
    <t>Web of Science на английском языке</t>
  </si>
  <si>
    <t>Scopus</t>
  </si>
  <si>
    <t>РИНЦ</t>
  </si>
  <si>
    <t>ВАК</t>
  </si>
  <si>
    <t>в журналах, рекомендованных ВАК</t>
  </si>
  <si>
    <t>в других журналах</t>
  </si>
  <si>
    <t>Уровень5</t>
  </si>
  <si>
    <t>кандидатская</t>
  </si>
  <si>
    <t>докторская</t>
  </si>
  <si>
    <t>Участники</t>
  </si>
  <si>
    <t>Участники2</t>
  </si>
  <si>
    <t>пленарный доклад</t>
  </si>
  <si>
    <t>Форма участия2</t>
  </si>
  <si>
    <t>на иностр. языке зарубежными изд-вами</t>
  </si>
  <si>
    <t>зарубежными изд-вами</t>
  </si>
  <si>
    <t>российскими изд-вами</t>
  </si>
  <si>
    <t xml:space="preserve">рецензия уполномоченного государственного учреждения </t>
  </si>
  <si>
    <t>гриф УМО, НМС</t>
  </si>
  <si>
    <t>гриф Учебно-методического объединения вузов или Научно-методического совета</t>
  </si>
  <si>
    <t>с другими грифами</t>
  </si>
  <si>
    <t>без рецензии (грифа)</t>
  </si>
  <si>
    <t>декан факультета</t>
  </si>
  <si>
    <t>УВП</t>
  </si>
  <si>
    <t>АХР</t>
  </si>
  <si>
    <t>фундаментальная</t>
  </si>
  <si>
    <t>прикладная</t>
  </si>
  <si>
    <t>разработка</t>
  </si>
  <si>
    <t>Тип</t>
  </si>
  <si>
    <t>научное направление</t>
  </si>
  <si>
    <t>научная школа</t>
  </si>
  <si>
    <t>Статус2</t>
  </si>
  <si>
    <t>докторант / соискатель</t>
  </si>
  <si>
    <t xml:space="preserve">
МИНИСТЕРСТВО НАУКИ И ВЫСШЕГО ОБРАЗОВАНИЯ
РОССИЙСКОЙ ФЕДЕРАЦИИ
федеральное государственное бюджетное образовательное учреждение 
высшего образования
МОСКОВСКИЙ ГОСУДАРСТВЕННЫЙ УНИВЕРСИТЕТ 
ТЕХНОЛОГИЙ И УПРАВЛЕНИЯ имени К.Г. РАЗУМОВСКОГО
(Первый казачий университет)»
</t>
  </si>
  <si>
    <t>ГОДОВОЙ ОТЧЕТ КАФЕДРЫ 
о научной деятельности преподавателей (сотрудников),
аспирантов, докторантов и студентов</t>
  </si>
  <si>
    <r>
      <t>Примечание</t>
    </r>
    <r>
      <rPr>
        <b/>
        <sz val="10"/>
        <color indexed="2"/>
        <rFont val="Arial Narrow"/>
        <family val="2"/>
        <charset val="204"/>
      </rPr>
      <t>: к отчету прилагаются сканированные копии статей (за исключением статей, проиндексированных в МНБД и  РИНЦ).</t>
    </r>
  </si>
  <si>
    <r>
      <t>Примечание:</t>
    </r>
    <r>
      <rPr>
        <b/>
        <sz val="10"/>
        <color indexed="2"/>
        <rFont val="Arial Narrow"/>
        <family val="2"/>
        <charset val="204"/>
      </rPr>
      <t xml:space="preserve"> К отчету прилагаются сканированные копии публикаций. Не прилагаются копии публикаций по итогам конференций, организованных университетом, а также статьи, индексируемые в РИНЦ. </t>
    </r>
  </si>
  <si>
    <t>4) уровня МГУТУ</t>
  </si>
  <si>
    <t xml:space="preserve">Студенческая научная конференция МГУТУ </t>
  </si>
  <si>
    <t>уровень МГУТУ</t>
  </si>
  <si>
    <t>НПР  (научно-педагогические работники)</t>
  </si>
  <si>
    <t>НПР (научно-педагогический работник)</t>
  </si>
  <si>
    <t xml:space="preserve">аспирант </t>
  </si>
  <si>
    <t xml:space="preserve">соискатель </t>
  </si>
  <si>
    <t>МГУТУ</t>
  </si>
  <si>
    <t xml:space="preserve">внутренний </t>
  </si>
  <si>
    <t xml:space="preserve">региональный </t>
  </si>
  <si>
    <t>Участники от МГУТУ</t>
  </si>
  <si>
    <t>уровня МГУТУ</t>
  </si>
  <si>
    <t>Руководитель от МГУТУ</t>
  </si>
  <si>
    <t>Учебная и научная литература, изданная штатными научно-педагогическими работниками МГУТУ в отчетном году, ед.:</t>
  </si>
  <si>
    <r>
      <t>Примечание</t>
    </r>
    <r>
      <rPr>
        <sz val="10"/>
        <color indexed="64"/>
        <rFont val="Arial Narrow"/>
        <family val="2"/>
        <charset val="204"/>
      </rPr>
      <t>: к отчету прилагаются копии титульных листов изданий</t>
    </r>
  </si>
  <si>
    <t>RSCI</t>
  </si>
  <si>
    <t>да</t>
  </si>
  <si>
    <t>Входит в RSCI</t>
  </si>
  <si>
    <t>Авторы от МГУТУ</t>
  </si>
  <si>
    <t>в т.ч. "Дни студенческой науки МГУТУ"</t>
  </si>
  <si>
    <t>докторанты и аспиранты МГУТУ</t>
  </si>
  <si>
    <t>Если не МГУТУ: наименование вуза, научной организации</t>
  </si>
  <si>
    <t>в т.ч. в совете МГУТУ</t>
  </si>
  <si>
    <t>Если защита прошла не в МГУТУ: наименование вуза, научной организации</t>
  </si>
  <si>
    <t>Код и наименование направления подготовки</t>
  </si>
  <si>
    <t>Рецензия, гриф</t>
  </si>
  <si>
    <t>рецензия</t>
  </si>
  <si>
    <t xml:space="preserve">средства различных российских научных фондов </t>
  </si>
  <si>
    <t>наименование факультета (филиала)</t>
  </si>
  <si>
    <t>Технологий и менеджмента</t>
  </si>
  <si>
    <t>СКИТУ (филиал) МГУТУ им. К.Г. Разумовского (ПКУ), г. Омск</t>
  </si>
  <si>
    <t>Директор филиала</t>
  </si>
  <si>
    <t>24 апреля 2025</t>
  </si>
  <si>
    <t>Цифровая дидактика и новые требования к педагогу</t>
  </si>
  <si>
    <t xml:space="preserve">Совершенствование ассортиментной политики торговой компании </t>
  </si>
  <si>
    <t>Кузнецова Елена Николаевна, Федорова Марина Ивановна, Щербакова Наталья Ивановна, Панов Сергей Анатольевич</t>
  </si>
  <si>
    <t>Экономика строительства. 2025 год. № 12. С.119-123</t>
  </si>
  <si>
    <t>MATHEMATICAL MODELS OF A CHANNEL WITH ERASURES UNDER CONDITIONS OF SIGNAL FADING</t>
  </si>
  <si>
    <t>SCIENTIFIC RESEARCH OF THE SCO COUNTRIES: SYNERGY AND INTEGRATION Proceedings of the International Conference. Beijing, 2025. — Ufa:Scientific publishing house Infinity, Ufa, 2025. — С. 218-223.</t>
  </si>
  <si>
    <t>Scopus на английском</t>
  </si>
  <si>
    <t>Web of Science на английском</t>
  </si>
  <si>
    <t>Панов С.А,, Щербакова Н.И Манченко К.А.</t>
  </si>
  <si>
    <t>Панов Сергей Анатольевич</t>
  </si>
  <si>
    <t>АСПЕКТ РАЗВИТИЯ ОБОРУДОВАНИЯ ДЛЯ ДЕЗИНФЕКЦИИ В МЕДИЦИНЕ КАТАСТРОФ КЫРГЫЗСТАНА</t>
  </si>
  <si>
    <t>КУДАЙБЕРДИЕВ А.Р, ПАНОВ С.А.,        МАНЧЕНКО К.А.,   БРЕЙТЕР Ю.Л.</t>
  </si>
  <si>
    <t>ОБЗОР ПАТЕНТОВ РОССИЙСКОЙ ФЕДЕРАЦИИ И РЕСПУБЛИКИ КАЗАХСТАН ПО СОСТАВУ КОМПОНЕНТОВ И СПОСОБУ ИЗГОТОВЛЕНИЯ БЕТОНОВ</t>
  </si>
  <si>
    <t>БРЕЙТЕР Ю.Л.    МАНЧЕНКО К.А.        ПАНОВ С.А.              ШЕВЧЕНКО Н.А.</t>
  </si>
  <si>
    <t>ОДИН ИЗ ПОДХОДОВ К УПРАВЛЕНИЮ ВЫБОРОМ ВСПОМОГАТЕЛЬНОГО ОБОРУДОВАНИЯ ЭЛЕКТРОРЕМОНТНОГО ПРЕДПРИЯТИЯ</t>
  </si>
  <si>
    <t>МИНЖЕСАРОВА С. А., ПАНОВ С. А.</t>
  </si>
  <si>
    <t>ОСОБЕННОСТИ ОФОРМЛЕНИЯ ЗАЯВОК НА ИЗОБРЕТЕНИЯ В ИНДУСТРИИ МОДЫ</t>
  </si>
  <si>
    <t>ЩЕРБАКОВА Н.И.</t>
  </si>
  <si>
    <t>ТЕОРЕТИЧЕСКИЕ ЗНАНИЯ - В ПРАКТИЧЕСКИЕ ДЕЛА Сборник статей XXIV Международной научно-практической конференции. Омск, 2025. — Омск: МГУТУ им. К.Г. Разумовского (Первый казачий университет), Омск, 2025. — С. 88-92.</t>
  </si>
  <si>
    <t xml:space="preserve"> ОДИН ИЗ ПОДХОДОВ К УПРАВЛЕНИЮ ВЫБОРОМ ВСПОМОГАТЕЛЬНОГО ОБОРУДОВАНИЯ ЭЛЕКТРОРЕМОНТНОГО ПРЕДПРИЯТИЯ</t>
  </si>
  <si>
    <t>1) международного уровня+C20:D20</t>
  </si>
  <si>
    <t>Патент на изобретение RU 2835933 C1, 06.03.2025 БОРДЮРНЫЙ КАМЕНЬ</t>
  </si>
  <si>
    <t>Патент на изобретение RU 2835933 C1, 06.03.2025</t>
  </si>
  <si>
    <t>Патент на изобретение RU  2 854 022  C1,  29.12.2025 ПРЯНИК ФУНКЦИОНАЛЬНОГО НАЗНАЧЕНИЯ С НАЧИНКОЙ</t>
  </si>
  <si>
    <t xml:space="preserve">Патент на изобретение RU  2 854 022  C1,  29.12.2025 </t>
  </si>
  <si>
    <t>Заявка на изобретение № 2025137730, дата поступления 23.12.25 ПОЛИМЕРНАЯ КОМПОЗИЦИЯ ДЛЯ ИЗГОТОВЛЕНИЯ РЕЗИНО-ТЕХНИЧЕСКИХ ИЗДЕЛИЙ</t>
  </si>
  <si>
    <t>Заявка на изобретение № 2025137754, дата поступления 23.12.25 ПОЛИМЕРНАЯ КОМПОЗИЦИЯ ДЛЯ  РЕЗИНО-ТЕХНИЧЕСКИХ ИЗДЕЛИЙ</t>
  </si>
  <si>
    <t>ЧЕМИСЕНКО О.В., БРЕЙТЕР Ю.Л..</t>
  </si>
  <si>
    <t>ТОЛСТОГУЗОВА Т.Т., БРЕЙТЕР Ю.Л.</t>
  </si>
  <si>
    <t>ПАНОВ С.А., МИНЖЕСАРОВА С.А.</t>
  </si>
  <si>
    <t>Брейтер Юрий Лазаревич</t>
  </si>
  <si>
    <t>Щербакова Наталья Ивановна</t>
  </si>
  <si>
    <t>Богданович Максим Сергеевич</t>
  </si>
  <si>
    <t>Технологий промышленности</t>
  </si>
  <si>
    <t xml:space="preserve"> 
ТЕОРЕТИЧЕСКИЕ ЗНАНИЯ - В ПРАКТИЧЕСКИЕ ДЕЛА. XXIV Международная научно-практическая конференция. </t>
  </si>
  <si>
    <r>
      <t xml:space="preserve"> ТЕОРЕТИЧЕСКИЕ ЗНАНИЯ - В ПРАКТИЧЕСКИЕ ДЕЛА. Сборник статей XXIV Международной научно-практической конференции. Омск, 2025.</t>
    </r>
    <r>
      <rPr>
        <b/>
        <sz val="10"/>
        <color rgb="FFFF0000"/>
        <rFont val="Arial Narrow"/>
        <family val="2"/>
        <charset val="204"/>
      </rPr>
      <t xml:space="preserve"> </t>
    </r>
    <r>
      <rPr>
        <sz val="10"/>
        <rFont val="Arial Narrow"/>
        <family val="2"/>
        <charset val="204"/>
      </rPr>
      <t>С. 4-13</t>
    </r>
  </si>
  <si>
    <r>
      <t xml:space="preserve"> ТЕОРЕТИЧЕСКИЕ ЗНАНИЯ - В ПРАКТИЧЕСКИЕ ДЕЛА. Сборник статей XXIV Международной научно-практической конференции. Омск, 2025. </t>
    </r>
    <r>
      <rPr>
        <sz val="10"/>
        <rFont val="Arial Narrow"/>
        <family val="2"/>
        <charset val="204"/>
      </rPr>
      <t>С. 79-88</t>
    </r>
  </si>
  <si>
    <t xml:space="preserve"> ТЕОРЕТИЧЕСКИЕ ЗНАНИЯ - В ПРАКТИЧЕСКИЕ ДЕЛА. Сборник статей XXIV Международной научно-практической конференции. Омск, 2025. С. 89-93</t>
  </si>
  <si>
    <t xml:space="preserve"> 
ТЕОРЕТИЧЕСКИЕ ЗНАНИЯ - В ПРАКТИЧЕСКИЕ ДЕЛА.XXIV Международная научно-практическая конференция. </t>
  </si>
  <si>
    <r>
      <t>ТЕОРЕТИЧЕСКИЕ ЗНАНИЯ - В ПРАКТИЧЕСКИЕ ДЕЛА.XXIV</t>
    </r>
    <r>
      <rPr>
        <sz val="9"/>
        <color indexed="64"/>
        <rFont val="Arial Narrow"/>
        <family val="2"/>
        <charset val="204"/>
      </rPr>
      <t>Международная научно-практическая конференция</t>
    </r>
  </si>
  <si>
    <t xml:space="preserve"> ТЕОРЕТИЧЕСКИЕ ЗНАНИЯ - В ПРАКТИЧЕСКИЕ ДЕЛА. Сборник статей XXIVМеждународной научно-практической конференции. Омск, 2025. С. 225-229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</si>
</sst>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m/d/yyyy"/>
    <numFmt numFmtId="165" formatCode="d\-mmm"/>
    <numFmt numFmtId="166" formatCode="_-* #,##0.00\ [$₽-419]_-;\-* #,##0.00\ [$₽-419]_-;_-* &quot;-&quot;??\ [$₽-419]_-;_-@_-"/>
  </numFmts>
  <fonts count="16" x14ac:knownFonts="1">
    <font>
      <sz val="10"/>
      <color indexed="64"/>
      <name val="Arial"/>
    </font>
    <font>
      <u/>
      <sz val="10"/>
      <color indexed="4"/>
      <name val="Arial"/>
      <family val="2"/>
      <charset val="204"/>
    </font>
    <font>
      <sz val="12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sz val="10"/>
      <color indexed="64"/>
      <name val="Arial Narrow"/>
      <family val="2"/>
      <charset val="204"/>
    </font>
    <font>
      <b/>
      <sz val="10"/>
      <color indexed="64"/>
      <name val="Arial Narrow"/>
      <family val="2"/>
      <charset val="204"/>
    </font>
    <font>
      <sz val="10"/>
      <name val="Arial Narrow"/>
      <family val="2"/>
      <charset val="204"/>
    </font>
    <font>
      <b/>
      <u/>
      <sz val="10"/>
      <color indexed="2"/>
      <name val="Arial Narrow"/>
      <family val="2"/>
      <charset val="204"/>
    </font>
    <font>
      <u/>
      <sz val="10"/>
      <color indexed="64"/>
      <name val="Arial Narrow"/>
      <family val="2"/>
      <charset val="204"/>
    </font>
    <font>
      <b/>
      <sz val="10"/>
      <color indexed="2"/>
      <name val="Arial Narrow"/>
      <family val="2"/>
      <charset val="204"/>
    </font>
    <font>
      <sz val="10"/>
      <color indexed="64"/>
      <name val="Arial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Arial Narrow"/>
      <family val="2"/>
      <charset val="204"/>
    </font>
    <font>
      <sz val="9"/>
      <color indexed="64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Border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3" borderId="2" xfId="0" applyFill="1" applyBorder="1"/>
    <xf numFmtId="0" fontId="0" fillId="3" borderId="2" xfId="0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0" fillId="4" borderId="2" xfId="0" applyFill="1" applyBorder="1"/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0" xfId="2"/>
    <xf numFmtId="0" fontId="4" fillId="0" borderId="2" xfId="2" applyFont="1" applyBorder="1" applyAlignment="1">
      <alignment horizontal="center" vertical="center" wrapText="1"/>
    </xf>
    <xf numFmtId="166" fontId="4" fillId="0" borderId="2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3" fillId="0" borderId="8" xfId="0" applyFont="1" applyBorder="1" applyAlignment="1">
      <alignment horizontal="justify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</cellXfs>
  <cellStyles count="5">
    <cellStyle name="Гиперссылка" xfId="1" builtinId="8"/>
    <cellStyle name="Денежный 2" xfId="3"/>
    <cellStyle name="Денежный 2 2" xf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19"/>
  <sheetViews>
    <sheetView zoomScaleNormal="100" workbookViewId="0">
      <selection activeCell="B9" sqref="B9:F9"/>
    </sheetView>
  </sheetViews>
  <sheetFormatPr defaultRowHeight="12.75" x14ac:dyDescent="0.2"/>
  <cols>
    <col min="2" max="2" width="30.5703125" style="1" bestFit="1" customWidth="1"/>
    <col min="3" max="3" width="3.7109375" style="1" bestFit="1" customWidth="1"/>
    <col min="4" max="4" width="25.5703125" style="1" bestFit="1" customWidth="1"/>
    <col min="5" max="5" width="3.7109375" style="1" bestFit="1" customWidth="1"/>
    <col min="6" max="6" width="25.5703125" style="1" bestFit="1" customWidth="1"/>
    <col min="7" max="258" width="9.140625" style="1" bestFit="1" customWidth="1"/>
    <col min="259" max="1026" width="9.140625" bestFit="1" customWidth="1"/>
  </cols>
  <sheetData>
    <row r="1" spans="1:6" s="2" customFormat="1" ht="139.5" customHeight="1" x14ac:dyDescent="0.2">
      <c r="B1" s="73" t="s">
        <v>273</v>
      </c>
      <c r="C1" s="73"/>
      <c r="D1" s="73"/>
      <c r="E1" s="73"/>
      <c r="F1" s="73"/>
    </row>
    <row r="2" spans="1:6" ht="75" customHeight="1" x14ac:dyDescent="0.2">
      <c r="B2" s="74"/>
      <c r="C2" s="74"/>
      <c r="D2" s="74"/>
      <c r="E2" s="74"/>
      <c r="F2" s="74"/>
    </row>
    <row r="3" spans="1:6" s="4" customFormat="1" ht="60" customHeight="1" x14ac:dyDescent="0.2">
      <c r="B3" s="75" t="s">
        <v>274</v>
      </c>
      <c r="C3" s="75"/>
      <c r="D3" s="75"/>
      <c r="E3" s="75"/>
      <c r="F3" s="75"/>
    </row>
    <row r="4" spans="1:6" s="5" customFormat="1" ht="12.75" customHeight="1" x14ac:dyDescent="0.2">
      <c r="A4" s="44"/>
      <c r="B4" s="76" t="s">
        <v>0</v>
      </c>
      <c r="C4" s="76"/>
      <c r="D4" s="76"/>
      <c r="E4" s="76"/>
      <c r="F4" s="76"/>
    </row>
    <row r="5" spans="1:6" s="4" customFormat="1" ht="24.95" customHeight="1" x14ac:dyDescent="0.2">
      <c r="B5" s="75">
        <v>2025</v>
      </c>
      <c r="C5" s="75"/>
      <c r="D5" s="75"/>
      <c r="E5" s="75"/>
      <c r="F5" s="75"/>
    </row>
    <row r="6" spans="1:6" s="5" customFormat="1" ht="12.75" customHeight="1" x14ac:dyDescent="0.2">
      <c r="A6" s="44"/>
      <c r="B6" s="76" t="s">
        <v>1</v>
      </c>
      <c r="C6" s="76"/>
      <c r="D6" s="76"/>
      <c r="E6" s="76"/>
      <c r="F6" s="76"/>
    </row>
    <row r="7" spans="1:6" s="4" customFormat="1" ht="24.95" customHeight="1" x14ac:dyDescent="0.2">
      <c r="B7" s="75" t="s">
        <v>306</v>
      </c>
      <c r="C7" s="75"/>
      <c r="D7" s="75"/>
      <c r="E7" s="75"/>
      <c r="F7" s="75"/>
    </row>
    <row r="8" spans="1:6" s="5" customFormat="1" ht="12.75" customHeight="1" x14ac:dyDescent="0.2">
      <c r="A8" s="44"/>
      <c r="B8" s="77" t="s">
        <v>305</v>
      </c>
      <c r="C8" s="76"/>
      <c r="D8" s="76"/>
      <c r="E8" s="76"/>
      <c r="F8" s="76"/>
    </row>
    <row r="9" spans="1:6" s="4" customFormat="1" ht="24.95" customHeight="1" x14ac:dyDescent="0.2">
      <c r="B9" s="75" t="s">
        <v>343</v>
      </c>
      <c r="C9" s="75"/>
      <c r="D9" s="75"/>
      <c r="E9" s="75"/>
      <c r="F9" s="75"/>
    </row>
    <row r="10" spans="1:6" s="5" customFormat="1" ht="12.75" customHeight="1" x14ac:dyDescent="0.2">
      <c r="A10" s="44"/>
      <c r="B10" s="76" t="s">
        <v>2</v>
      </c>
      <c r="C10" s="76"/>
      <c r="D10" s="76"/>
      <c r="E10" s="76"/>
      <c r="F10" s="76"/>
    </row>
    <row r="11" spans="1:6" s="5" customFormat="1" ht="75" customHeight="1" x14ac:dyDescent="0.2">
      <c r="A11" s="44"/>
      <c r="B11" s="76"/>
      <c r="C11" s="76"/>
      <c r="D11" s="76"/>
      <c r="E11" s="76"/>
      <c r="F11" s="76"/>
    </row>
    <row r="12" spans="1:6" s="6" customFormat="1" ht="30" customHeight="1" x14ac:dyDescent="0.2">
      <c r="B12" s="6" t="s">
        <v>3</v>
      </c>
      <c r="D12" s="7"/>
    </row>
    <row r="13" spans="1:6" s="3" customFormat="1" ht="30" customHeight="1" x14ac:dyDescent="0.2">
      <c r="A13" s="43"/>
      <c r="B13" s="3" t="s">
        <v>4</v>
      </c>
      <c r="D13" s="3" t="s">
        <v>5</v>
      </c>
      <c r="F13" s="3" t="s">
        <v>6</v>
      </c>
    </row>
    <row r="14" spans="1:6" s="3" customFormat="1" ht="30" customHeight="1" x14ac:dyDescent="0.2">
      <c r="A14" s="43"/>
    </row>
    <row r="15" spans="1:6" s="6" customFormat="1" ht="30" customHeight="1" x14ac:dyDescent="0.2">
      <c r="B15" s="6" t="s">
        <v>308</v>
      </c>
      <c r="D15" s="7"/>
    </row>
    <row r="16" spans="1:6" s="3" customFormat="1" ht="30" customHeight="1" x14ac:dyDescent="0.2">
      <c r="A16" s="43"/>
      <c r="B16" s="3" t="s">
        <v>7</v>
      </c>
      <c r="D16" s="3" t="s">
        <v>5</v>
      </c>
      <c r="F16" s="3" t="s">
        <v>6</v>
      </c>
    </row>
    <row r="17" spans="1:1" s="3" customFormat="1" x14ac:dyDescent="0.2">
      <c r="A17" s="43"/>
    </row>
    <row r="18" spans="1:1" s="3" customFormat="1" x14ac:dyDescent="0.2">
      <c r="A18" s="43"/>
    </row>
    <row r="19" spans="1:1" s="3" customFormat="1" x14ac:dyDescent="0.2">
      <c r="A19" s="43"/>
    </row>
  </sheetData>
  <mergeCells count="11">
    <mergeCell ref="B11:F11"/>
    <mergeCell ref="B6:F6"/>
    <mergeCell ref="B7:F7"/>
    <mergeCell ref="B8:F8"/>
    <mergeCell ref="B9:F9"/>
    <mergeCell ref="B10:F10"/>
    <mergeCell ref="B1:F1"/>
    <mergeCell ref="B2:F2"/>
    <mergeCell ref="B3:F3"/>
    <mergeCell ref="B4:F4"/>
    <mergeCell ref="B5:F5"/>
  </mergeCells>
  <printOptions gridLines="1"/>
  <pageMargins left="0.82677165354330717" right="0.23622047244094491" top="0.74803149606299213" bottom="0.74803149606299213" header="0.31496062992125984" footer="0.31496062992125984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W14"/>
  <sheetViews>
    <sheetView workbookViewId="0">
      <selection activeCell="K14" sqref="K14"/>
    </sheetView>
  </sheetViews>
  <sheetFormatPr defaultRowHeight="12.75" x14ac:dyDescent="0.2"/>
  <cols>
    <col min="1" max="1" width="4.7109375" style="8" bestFit="1" customWidth="1"/>
    <col min="2" max="5" width="20.5703125" style="8" bestFit="1" customWidth="1"/>
    <col min="6" max="6" width="15.5703125" style="8" bestFit="1" customWidth="1"/>
    <col min="7" max="7" width="25.570312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9" t="s">
        <v>8</v>
      </c>
      <c r="B1" s="92" t="s">
        <v>9</v>
      </c>
      <c r="C1" s="92"/>
      <c r="D1" s="92"/>
      <c r="E1" s="92"/>
      <c r="F1" s="92"/>
      <c r="G1" s="92"/>
    </row>
    <row r="2" spans="1:7" s="10" customFormat="1" ht="24.95" customHeight="1" x14ac:dyDescent="0.2">
      <c r="A2" s="10">
        <v>9</v>
      </c>
      <c r="B2" s="79" t="s">
        <v>131</v>
      </c>
      <c r="C2" s="79"/>
      <c r="D2" s="79"/>
      <c r="E2" s="79"/>
      <c r="F2" s="79"/>
      <c r="G2" s="79"/>
    </row>
    <row r="3" spans="1:7" s="9" customFormat="1" ht="38.25" x14ac:dyDescent="0.2">
      <c r="A3" s="9" t="s">
        <v>21</v>
      </c>
      <c r="B3" s="9" t="s">
        <v>132</v>
      </c>
      <c r="C3" s="9" t="s">
        <v>133</v>
      </c>
      <c r="D3" s="9" t="s">
        <v>134</v>
      </c>
      <c r="E3" s="9" t="s">
        <v>135</v>
      </c>
      <c r="F3" s="9" t="s">
        <v>136</v>
      </c>
      <c r="G3" s="9" t="s">
        <v>137</v>
      </c>
    </row>
    <row r="4" spans="1:7" ht="25.5" x14ac:dyDescent="0.2">
      <c r="B4" s="8" t="s">
        <v>39</v>
      </c>
      <c r="C4" s="8" t="s">
        <v>138</v>
      </c>
      <c r="D4" s="8" t="s">
        <v>139</v>
      </c>
      <c r="E4" s="8" t="s">
        <v>140</v>
      </c>
      <c r="F4" s="8">
        <v>3</v>
      </c>
      <c r="G4" s="8" t="s">
        <v>141</v>
      </c>
    </row>
    <row r="5" spans="1:7" ht="25.5" x14ac:dyDescent="0.2">
      <c r="B5" s="8" t="s">
        <v>43</v>
      </c>
      <c r="C5" s="8" t="s">
        <v>138</v>
      </c>
      <c r="D5" s="8" t="s">
        <v>120</v>
      </c>
      <c r="E5" s="8" t="s">
        <v>139</v>
      </c>
      <c r="F5" s="8">
        <v>2</v>
      </c>
      <c r="G5" s="8" t="s">
        <v>142</v>
      </c>
    </row>
    <row r="6" spans="1:7" ht="25.5" x14ac:dyDescent="0.2">
      <c r="B6" s="8" t="s">
        <v>41</v>
      </c>
      <c r="C6" s="8" t="s">
        <v>138</v>
      </c>
      <c r="D6" s="8" t="s">
        <v>139</v>
      </c>
      <c r="E6" s="8" t="s">
        <v>139</v>
      </c>
      <c r="F6" s="8">
        <v>2</v>
      </c>
      <c r="G6" s="8" t="s">
        <v>143</v>
      </c>
    </row>
    <row r="7" spans="1:7" ht="25.5" x14ac:dyDescent="0.2">
      <c r="B7" s="8" t="s">
        <v>29</v>
      </c>
      <c r="C7" s="8" t="s">
        <v>138</v>
      </c>
      <c r="D7" s="8" t="s">
        <v>139</v>
      </c>
      <c r="E7" s="8" t="s">
        <v>139</v>
      </c>
      <c r="F7" s="8">
        <v>4</v>
      </c>
      <c r="G7" s="8" t="s">
        <v>144</v>
      </c>
    </row>
    <row r="8" spans="1:7" ht="25.5" x14ac:dyDescent="0.2">
      <c r="B8" s="8" t="s">
        <v>37</v>
      </c>
      <c r="C8" s="8" t="s">
        <v>145</v>
      </c>
      <c r="D8" s="8" t="s">
        <v>146</v>
      </c>
      <c r="E8" s="8" t="s">
        <v>146</v>
      </c>
      <c r="F8" s="8">
        <v>5</v>
      </c>
      <c r="G8" s="8" t="s">
        <v>147</v>
      </c>
    </row>
    <row r="9" spans="1:7" x14ac:dyDescent="0.2">
      <c r="B9" s="8" t="s">
        <v>148</v>
      </c>
      <c r="C9" s="8" t="s">
        <v>138</v>
      </c>
      <c r="D9" s="8" t="s">
        <v>139</v>
      </c>
      <c r="E9" s="8" t="s">
        <v>139</v>
      </c>
      <c r="F9" s="8">
        <v>0</v>
      </c>
      <c r="G9" s="8" t="s">
        <v>149</v>
      </c>
    </row>
    <row r="10" spans="1:7" ht="25.5" x14ac:dyDescent="0.2">
      <c r="B10" s="8" t="s">
        <v>42</v>
      </c>
      <c r="C10" s="8" t="s">
        <v>138</v>
      </c>
      <c r="D10" s="8" t="s">
        <v>139</v>
      </c>
      <c r="E10" s="8" t="s">
        <v>139</v>
      </c>
      <c r="F10" s="8">
        <v>1</v>
      </c>
      <c r="G10" s="8" t="s">
        <v>150</v>
      </c>
    </row>
    <row r="11" spans="1:7" ht="25.5" x14ac:dyDescent="0.2">
      <c r="B11" s="8" t="s">
        <v>151</v>
      </c>
      <c r="C11" s="8" t="s">
        <v>138</v>
      </c>
      <c r="D11" s="8" t="s">
        <v>139</v>
      </c>
      <c r="E11" s="8" t="s">
        <v>139</v>
      </c>
      <c r="F11" s="8">
        <v>3</v>
      </c>
      <c r="G11" s="8" t="s">
        <v>152</v>
      </c>
    </row>
    <row r="12" spans="1:7" ht="25.5" x14ac:dyDescent="0.2">
      <c r="B12" s="8" t="s">
        <v>36</v>
      </c>
      <c r="C12" s="8" t="s">
        <v>120</v>
      </c>
      <c r="D12" s="8" t="s">
        <v>120</v>
      </c>
      <c r="E12" s="8" t="s">
        <v>153</v>
      </c>
      <c r="F12" s="8">
        <v>1</v>
      </c>
      <c r="G12" s="8" t="s">
        <v>154</v>
      </c>
    </row>
    <row r="13" spans="1:7" x14ac:dyDescent="0.2">
      <c r="B13" s="8" t="s">
        <v>34</v>
      </c>
      <c r="C13" s="8" t="s">
        <v>120</v>
      </c>
      <c r="D13" s="8" t="s">
        <v>120</v>
      </c>
      <c r="E13" s="8" t="s">
        <v>155</v>
      </c>
      <c r="F13" s="8">
        <v>0</v>
      </c>
      <c r="G13" s="8" t="s">
        <v>149</v>
      </c>
    </row>
    <row r="14" spans="1:7" ht="25.5" x14ac:dyDescent="0.2">
      <c r="B14" s="8" t="s">
        <v>156</v>
      </c>
      <c r="C14" s="8" t="s">
        <v>138</v>
      </c>
      <c r="D14" s="8" t="s">
        <v>139</v>
      </c>
      <c r="E14" s="8" t="s">
        <v>139</v>
      </c>
      <c r="F14" s="8">
        <v>1</v>
      </c>
      <c r="G14" s="8" t="s">
        <v>157</v>
      </c>
    </row>
  </sheetData>
  <mergeCells count="2">
    <mergeCell ref="B1:G1"/>
    <mergeCell ref="B2:G2"/>
  </mergeCells>
  <dataValidations count="4">
    <dataValidation type="decimal" operator="greaterThanOrEqual" allowBlank="1" showErrorMessage="1" sqref="F4:F9 F11:F19 F21:F28">
      <formula1>0</formula1>
      <formula2>0</formula2>
    </dataValidation>
    <dataValidation type="list" allowBlank="1" showErrorMessage="1" sqref="C4:C9 C11:C19 C21:C28">
      <formula1>Степень</formula1>
      <formula2>0</formula2>
    </dataValidation>
    <dataValidation type="list" allowBlank="1" showErrorMessage="1" sqref="D4:D9 D11:D19 D21:D28">
      <formula1>Звание</formula1>
      <formula2>0</formula2>
    </dataValidation>
    <dataValidation type="list" allowBlank="1" showErrorMessage="1" sqref="E4:E9 E11:E19 E21:E28">
      <formula1>Должность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1"/>
  <sheetViews>
    <sheetView zoomScaleNormal="100" workbookViewId="0">
      <selection sqref="A1:G6"/>
    </sheetView>
  </sheetViews>
  <sheetFormatPr defaultRowHeight="12.75" x14ac:dyDescent="0.2"/>
  <cols>
    <col min="1" max="1" width="4.7109375" style="8" bestFit="1" customWidth="1"/>
    <col min="2" max="2" width="25.5703125" style="8" bestFit="1" customWidth="1"/>
    <col min="3" max="3" width="10.7109375" style="8" bestFit="1" customWidth="1"/>
    <col min="4" max="5" width="15.5703125" style="8" bestFit="1" customWidth="1"/>
    <col min="6" max="7" width="25.570312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78" t="s">
        <v>8</v>
      </c>
      <c r="B1" s="78" t="s">
        <v>9</v>
      </c>
      <c r="C1" s="78"/>
      <c r="D1" s="78"/>
      <c r="E1" s="78"/>
      <c r="F1" s="93" t="s">
        <v>10</v>
      </c>
      <c r="G1" s="93"/>
    </row>
    <row r="2" spans="1:7" s="9" customFormat="1" x14ac:dyDescent="0.2">
      <c r="A2" s="78"/>
      <c r="B2" s="78"/>
      <c r="C2" s="78"/>
      <c r="D2" s="78"/>
      <c r="E2" s="78"/>
      <c r="F2" s="9" t="s">
        <v>158</v>
      </c>
      <c r="G2" s="9" t="s">
        <v>12</v>
      </c>
    </row>
    <row r="3" spans="1:7" s="9" customFormat="1" ht="35.1" customHeight="1" x14ac:dyDescent="0.2">
      <c r="A3" s="79">
        <v>10</v>
      </c>
      <c r="B3" s="79" t="s">
        <v>159</v>
      </c>
      <c r="C3" s="79"/>
      <c r="D3" s="79"/>
      <c r="E3" s="79"/>
      <c r="F3" s="10">
        <f>SUM(F4:F5)</f>
        <v>0</v>
      </c>
      <c r="G3" s="10">
        <f>SUM(G4:G5)</f>
        <v>0</v>
      </c>
    </row>
    <row r="4" spans="1:7" s="9" customFormat="1" ht="12.75" customHeight="1" x14ac:dyDescent="0.2">
      <c r="A4" s="79"/>
      <c r="B4" s="78" t="s">
        <v>15</v>
      </c>
      <c r="C4" s="78" t="s">
        <v>297</v>
      </c>
      <c r="D4" s="78"/>
      <c r="E4" s="78"/>
      <c r="F4" s="9">
        <f>COUNTIFS($D$7:$D$31,"докт*",$E$7:$E$31,"ЧГУ")</f>
        <v>0</v>
      </c>
      <c r="G4" s="9">
        <f>COUNTIFS($D$7:$D$31,"аспир*",$E$7:$E$31,"ЧГУ")</f>
        <v>0</v>
      </c>
    </row>
    <row r="5" spans="1:7" s="9" customFormat="1" ht="12.75" customHeight="1" x14ac:dyDescent="0.2">
      <c r="A5" s="79"/>
      <c r="B5" s="78"/>
      <c r="C5" s="78" t="s">
        <v>160</v>
      </c>
      <c r="D5" s="78"/>
      <c r="E5" s="78"/>
      <c r="F5" s="9">
        <f>COUNTIFS($D$7:$D$31,"докт*",$E$7:$E$31,"друг*")</f>
        <v>0</v>
      </c>
      <c r="G5" s="9">
        <f>COUNTIFS($D$7:$D$31,"аспир*",$E$7:$E$31,"друг*")</f>
        <v>0</v>
      </c>
    </row>
    <row r="6" spans="1:7" s="9" customFormat="1" ht="38.25" x14ac:dyDescent="0.2">
      <c r="A6" s="9" t="s">
        <v>21</v>
      </c>
      <c r="B6" s="9" t="s">
        <v>161</v>
      </c>
      <c r="C6" s="9" t="s">
        <v>162</v>
      </c>
      <c r="D6" s="9" t="s">
        <v>81</v>
      </c>
      <c r="E6" s="9" t="s">
        <v>163</v>
      </c>
      <c r="F6" s="9" t="s">
        <v>298</v>
      </c>
      <c r="G6" s="9" t="s">
        <v>164</v>
      </c>
    </row>
    <row r="7" spans="1:7" x14ac:dyDescent="0.2">
      <c r="A7" s="8">
        <v>1</v>
      </c>
    </row>
    <row r="8" spans="1:7" x14ac:dyDescent="0.2">
      <c r="A8" s="8">
        <v>2</v>
      </c>
    </row>
    <row r="9" spans="1:7" x14ac:dyDescent="0.2">
      <c r="A9" s="8">
        <v>3</v>
      </c>
    </row>
    <row r="10" spans="1:7" x14ac:dyDescent="0.2">
      <c r="A10" s="8">
        <v>4</v>
      </c>
    </row>
    <row r="11" spans="1:7" x14ac:dyDescent="0.2">
      <c r="A11" s="8">
        <v>5</v>
      </c>
    </row>
    <row r="12" spans="1:7" x14ac:dyDescent="0.2">
      <c r="A12" s="8">
        <v>6</v>
      </c>
    </row>
    <row r="13" spans="1:7" x14ac:dyDescent="0.2">
      <c r="A13" s="8">
        <v>7</v>
      </c>
    </row>
    <row r="14" spans="1:7" x14ac:dyDescent="0.2">
      <c r="A14" s="8">
        <v>8</v>
      </c>
    </row>
    <row r="15" spans="1:7" x14ac:dyDescent="0.2">
      <c r="A15" s="8">
        <v>9</v>
      </c>
    </row>
    <row r="16" spans="1:7" x14ac:dyDescent="0.2">
      <c r="A16" s="8">
        <v>10</v>
      </c>
    </row>
    <row r="17" spans="1:1" x14ac:dyDescent="0.2">
      <c r="A17" s="8">
        <v>11</v>
      </c>
    </row>
    <row r="18" spans="1:1" x14ac:dyDescent="0.2">
      <c r="A18" s="8">
        <v>12</v>
      </c>
    </row>
    <row r="19" spans="1:1" x14ac:dyDescent="0.2">
      <c r="A19" s="8">
        <v>13</v>
      </c>
    </row>
    <row r="20" spans="1:1" x14ac:dyDescent="0.2">
      <c r="A20" s="8">
        <v>14</v>
      </c>
    </row>
    <row r="21" spans="1:1" x14ac:dyDescent="0.2">
      <c r="A21" s="8">
        <v>15</v>
      </c>
    </row>
    <row r="22" spans="1:1" x14ac:dyDescent="0.2">
      <c r="A22" s="8">
        <v>16</v>
      </c>
    </row>
    <row r="23" spans="1:1" x14ac:dyDescent="0.2">
      <c r="A23" s="8">
        <v>17</v>
      </c>
    </row>
    <row r="24" spans="1:1" x14ac:dyDescent="0.2">
      <c r="A24" s="8">
        <v>18</v>
      </c>
    </row>
    <row r="25" spans="1:1" x14ac:dyDescent="0.2">
      <c r="A25" s="8">
        <v>19</v>
      </c>
    </row>
    <row r="26" spans="1:1" x14ac:dyDescent="0.2">
      <c r="A26" s="8">
        <v>20</v>
      </c>
    </row>
    <row r="27" spans="1:1" x14ac:dyDescent="0.2">
      <c r="A27" s="8">
        <v>21</v>
      </c>
    </row>
    <row r="28" spans="1:1" x14ac:dyDescent="0.2">
      <c r="A28" s="8">
        <v>22</v>
      </c>
    </row>
    <row r="29" spans="1:1" x14ac:dyDescent="0.2">
      <c r="A29" s="8">
        <v>23</v>
      </c>
    </row>
    <row r="30" spans="1:1" x14ac:dyDescent="0.2">
      <c r="A30" s="8">
        <v>24</v>
      </c>
    </row>
    <row r="31" spans="1:1" x14ac:dyDescent="0.2">
      <c r="A31" s="8">
        <v>25</v>
      </c>
    </row>
  </sheetData>
  <mergeCells count="8">
    <mergeCell ref="A1:A2"/>
    <mergeCell ref="B1:E2"/>
    <mergeCell ref="F1:G1"/>
    <mergeCell ref="A3:A5"/>
    <mergeCell ref="B3:E3"/>
    <mergeCell ref="B4:B5"/>
    <mergeCell ref="C4:E4"/>
    <mergeCell ref="C5:E5"/>
  </mergeCells>
  <dataValidations count="4">
    <dataValidation type="list" allowBlank="1" showErrorMessage="1" sqref="D7:D31">
      <formula1>Статус2</formula1>
      <formula2>0</formula2>
    </dataValidation>
    <dataValidation type="list" allowBlank="1" showErrorMessage="1" sqref="E7:E31">
      <formula1>Место</formula1>
      <formula2>0</formula2>
    </dataValidation>
    <dataValidation type="textLength" allowBlank="1" showErrorMessage="1" sqref="F7:G31">
      <formula1>0</formula1>
      <formula2>255</formula2>
    </dataValidation>
    <dataValidation type="list" allowBlank="1" showErrorMessage="1" sqref="C7:C31">
      <formula1>Категория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3"/>
  <sheetViews>
    <sheetView zoomScaleNormal="100" workbookViewId="0">
      <selection sqref="A1:I8"/>
    </sheetView>
  </sheetViews>
  <sheetFormatPr defaultRowHeight="12.75" x14ac:dyDescent="0.2"/>
  <cols>
    <col min="1" max="1" width="4.7109375" style="8" bestFit="1" customWidth="1"/>
    <col min="2" max="2" width="25.5703125" style="8" bestFit="1" customWidth="1"/>
    <col min="3" max="7" width="12.7109375" style="8" bestFit="1" customWidth="1"/>
    <col min="8" max="8" width="20.5703125" style="8" bestFit="1" customWidth="1"/>
    <col min="9" max="9" width="18.5703125" style="8" bestFit="1" customWidth="1"/>
    <col min="10" max="257" width="9.140625" style="8" bestFit="1" customWidth="1"/>
    <col min="258" max="1025" width="9.140625" bestFit="1" customWidth="1"/>
  </cols>
  <sheetData>
    <row r="1" spans="1:9" s="9" customFormat="1" ht="12.75" customHeight="1" x14ac:dyDescent="0.2">
      <c r="A1" s="78" t="s">
        <v>8</v>
      </c>
      <c r="B1" s="78" t="s">
        <v>9</v>
      </c>
      <c r="C1" s="78"/>
      <c r="D1" s="78"/>
      <c r="E1" s="78" t="s">
        <v>10</v>
      </c>
      <c r="F1" s="78"/>
      <c r="G1" s="78"/>
      <c r="H1" s="78"/>
      <c r="I1" s="78"/>
    </row>
    <row r="2" spans="1:9" s="9" customFormat="1" ht="25.5" x14ac:dyDescent="0.2">
      <c r="A2" s="78"/>
      <c r="B2" s="78"/>
      <c r="C2" s="78"/>
      <c r="D2" s="78"/>
      <c r="E2" s="9" t="s">
        <v>11</v>
      </c>
      <c r="F2" s="9" t="s">
        <v>12</v>
      </c>
      <c r="G2" s="9" t="s">
        <v>167</v>
      </c>
      <c r="H2" s="78"/>
      <c r="I2" s="78"/>
    </row>
    <row r="3" spans="1:9" s="9" customFormat="1" ht="24.95" customHeight="1" x14ac:dyDescent="0.2">
      <c r="A3" s="79">
        <v>11</v>
      </c>
      <c r="B3" s="79" t="s">
        <v>168</v>
      </c>
      <c r="C3" s="79"/>
      <c r="D3" s="79"/>
      <c r="E3" s="10">
        <f>E4+E6</f>
        <v>0</v>
      </c>
      <c r="F3" s="10">
        <f>F4+F6</f>
        <v>0</v>
      </c>
      <c r="G3" s="10">
        <f>G4+G6</f>
        <v>0</v>
      </c>
      <c r="H3" s="78"/>
      <c r="I3" s="78"/>
    </row>
    <row r="4" spans="1:9" s="9" customFormat="1" ht="12.75" customHeight="1" x14ac:dyDescent="0.2">
      <c r="A4" s="79"/>
      <c r="B4" s="78" t="s">
        <v>15</v>
      </c>
      <c r="C4" s="80" t="s">
        <v>169</v>
      </c>
      <c r="D4" s="80"/>
      <c r="E4" s="9">
        <f>COUNTIFS($C$9:$C$34,"канд*",$D$9:$D$34,"НПР*")</f>
        <v>0</v>
      </c>
      <c r="F4" s="9">
        <f>COUNTIFS($C$9:$C$34,"канд*",$D$9:$D$34,"аспирант*")</f>
        <v>0</v>
      </c>
      <c r="G4" s="9">
        <f>COUNTIFS($C$9:$C$34,"канд*",$D$9:$D$34,"соискат*")</f>
        <v>0</v>
      </c>
      <c r="H4" s="78"/>
      <c r="I4" s="78"/>
    </row>
    <row r="5" spans="1:9" s="9" customFormat="1" ht="12.75" customHeight="1" x14ac:dyDescent="0.2">
      <c r="A5" s="79"/>
      <c r="B5" s="78"/>
      <c r="C5" s="81" t="s">
        <v>299</v>
      </c>
      <c r="D5" s="81"/>
      <c r="E5" s="9">
        <f>COUNTIFS($C$9:$C$34,"канд*",$D$9:$D$34,"НПР*",$G$9:$G$34,"ЧГУ")</f>
        <v>0</v>
      </c>
      <c r="F5" s="9">
        <f>COUNTIFS($C$9:$C$34,"канд*",$D$9:$D$34,"аспирант*",$G$9:$G$34,"ЧГУ")</f>
        <v>0</v>
      </c>
      <c r="G5" s="9">
        <f>COUNTIFS($C$9:$C$34,"канд*",$D$9:$D$34,"соискат*",$G$9:$G$34,"ЧГУ")</f>
        <v>0</v>
      </c>
      <c r="H5" s="78"/>
      <c r="I5" s="78"/>
    </row>
    <row r="6" spans="1:9" s="9" customFormat="1" ht="12.75" customHeight="1" x14ac:dyDescent="0.2">
      <c r="A6" s="79"/>
      <c r="B6" s="78"/>
      <c r="C6" s="80" t="s">
        <v>170</v>
      </c>
      <c r="D6" s="80"/>
      <c r="E6" s="9">
        <f>COUNTIFS($C$9:$C$34,"докт*",$D$9:$D$34,"НПР*")</f>
        <v>0</v>
      </c>
      <c r="F6" s="9">
        <f>COUNTIFS($C$9:$C$34,"докт*",$D$9:$D$34,"аспирант*")</f>
        <v>0</v>
      </c>
      <c r="G6" s="9">
        <f>COUNTIFS($C$9:$C$34,"докт*",$D$9:$D$34,"соискат*")</f>
        <v>0</v>
      </c>
      <c r="H6" s="78"/>
      <c r="I6" s="78"/>
    </row>
    <row r="7" spans="1:9" s="9" customFormat="1" ht="12.75" customHeight="1" x14ac:dyDescent="0.2">
      <c r="A7" s="79"/>
      <c r="B7" s="78"/>
      <c r="C7" s="81" t="s">
        <v>299</v>
      </c>
      <c r="D7" s="81"/>
      <c r="E7" s="9">
        <f>COUNTIFS($C$9:$C$34,"докт*",$D$9:$D$34,"НПР*",$G$9:$G$34,"ЧГУ")</f>
        <v>0</v>
      </c>
      <c r="F7" s="9">
        <f>COUNTIFS($C$9:$C$34,"докт*",$D$9:$D$34,"аспирант*",$G$9:$G$34,"ЧГУ")</f>
        <v>0</v>
      </c>
      <c r="G7" s="9">
        <f>COUNTIFS($C$9:$C$34,"докт*",$D$9:$D$34,"соискат*",$G$9:$G$34,"ЧГУ")</f>
        <v>0</v>
      </c>
      <c r="H7" s="78"/>
      <c r="I7" s="78"/>
    </row>
    <row r="8" spans="1:9" s="9" customFormat="1" ht="51" x14ac:dyDescent="0.2">
      <c r="A8" s="9" t="s">
        <v>21</v>
      </c>
      <c r="B8" s="9" t="s">
        <v>171</v>
      </c>
      <c r="C8" s="9" t="s">
        <v>172</v>
      </c>
      <c r="D8" s="9" t="s">
        <v>173</v>
      </c>
      <c r="E8" s="9" t="s">
        <v>174</v>
      </c>
      <c r="F8" s="9" t="s">
        <v>175</v>
      </c>
      <c r="G8" s="9" t="s">
        <v>176</v>
      </c>
      <c r="H8" s="9" t="s">
        <v>300</v>
      </c>
      <c r="I8" s="9" t="s">
        <v>164</v>
      </c>
    </row>
    <row r="9" spans="1:9" x14ac:dyDescent="0.2">
      <c r="A9" s="8">
        <v>1</v>
      </c>
      <c r="F9" s="20"/>
    </row>
    <row r="10" spans="1:9" x14ac:dyDescent="0.2">
      <c r="A10" s="8">
        <v>2</v>
      </c>
      <c r="F10" s="20"/>
    </row>
    <row r="11" spans="1:9" x14ac:dyDescent="0.2">
      <c r="A11" s="8">
        <v>3</v>
      </c>
      <c r="F11" s="20"/>
    </row>
    <row r="12" spans="1:9" x14ac:dyDescent="0.2">
      <c r="A12" s="8">
        <v>4</v>
      </c>
      <c r="F12" s="20"/>
    </row>
    <row r="13" spans="1:9" x14ac:dyDescent="0.2">
      <c r="A13" s="8">
        <v>5</v>
      </c>
      <c r="F13" s="20"/>
    </row>
    <row r="14" spans="1:9" x14ac:dyDescent="0.2">
      <c r="A14" s="8">
        <v>6</v>
      </c>
      <c r="F14" s="20"/>
    </row>
    <row r="15" spans="1:9" x14ac:dyDescent="0.2">
      <c r="A15" s="8">
        <v>7</v>
      </c>
      <c r="F15" s="20"/>
    </row>
    <row r="16" spans="1:9" x14ac:dyDescent="0.2">
      <c r="A16" s="8">
        <v>8</v>
      </c>
      <c r="F16" s="20"/>
    </row>
    <row r="17" spans="1:6" x14ac:dyDescent="0.2">
      <c r="A17" s="8">
        <v>9</v>
      </c>
      <c r="F17" s="20"/>
    </row>
    <row r="18" spans="1:6" x14ac:dyDescent="0.2">
      <c r="A18" s="8">
        <v>10</v>
      </c>
      <c r="F18" s="20"/>
    </row>
    <row r="19" spans="1:6" x14ac:dyDescent="0.2">
      <c r="A19" s="8">
        <v>11</v>
      </c>
      <c r="F19" s="20"/>
    </row>
    <row r="20" spans="1:6" x14ac:dyDescent="0.2">
      <c r="A20" s="8">
        <v>12</v>
      </c>
      <c r="F20" s="20"/>
    </row>
    <row r="21" spans="1:6" x14ac:dyDescent="0.2">
      <c r="A21" s="8">
        <v>13</v>
      </c>
      <c r="F21" s="20"/>
    </row>
    <row r="22" spans="1:6" x14ac:dyDescent="0.2">
      <c r="A22" s="8">
        <v>14</v>
      </c>
      <c r="F22" s="20"/>
    </row>
    <row r="23" spans="1:6" x14ac:dyDescent="0.2">
      <c r="A23" s="8">
        <v>15</v>
      </c>
      <c r="F23" s="20"/>
    </row>
    <row r="24" spans="1:6" x14ac:dyDescent="0.2">
      <c r="A24" s="8">
        <v>16</v>
      </c>
      <c r="F24" s="20"/>
    </row>
    <row r="25" spans="1:6" x14ac:dyDescent="0.2">
      <c r="A25" s="8">
        <v>17</v>
      </c>
      <c r="F25" s="20"/>
    </row>
    <row r="26" spans="1:6" x14ac:dyDescent="0.2">
      <c r="A26" s="8">
        <v>18</v>
      </c>
      <c r="F26" s="20"/>
    </row>
    <row r="27" spans="1:6" x14ac:dyDescent="0.2">
      <c r="A27" s="8">
        <v>19</v>
      </c>
      <c r="F27" s="20"/>
    </row>
    <row r="28" spans="1:6" x14ac:dyDescent="0.2">
      <c r="A28" s="8">
        <v>20</v>
      </c>
      <c r="F28" s="20"/>
    </row>
    <row r="29" spans="1:6" x14ac:dyDescent="0.2">
      <c r="A29" s="8">
        <v>21</v>
      </c>
      <c r="F29" s="20"/>
    </row>
    <row r="30" spans="1:6" x14ac:dyDescent="0.2">
      <c r="A30" s="8">
        <v>22</v>
      </c>
      <c r="F30" s="20"/>
    </row>
    <row r="31" spans="1:6" x14ac:dyDescent="0.2">
      <c r="A31" s="8">
        <v>23</v>
      </c>
      <c r="F31" s="20"/>
    </row>
    <row r="32" spans="1:6" x14ac:dyDescent="0.2">
      <c r="A32" s="8">
        <v>24</v>
      </c>
      <c r="F32" s="20"/>
    </row>
    <row r="33" spans="1:6" x14ac:dyDescent="0.2">
      <c r="A33" s="8">
        <v>25</v>
      </c>
      <c r="F33" s="20"/>
    </row>
  </sheetData>
  <mergeCells count="11">
    <mergeCell ref="A1:A2"/>
    <mergeCell ref="B1:D2"/>
    <mergeCell ref="E1:G1"/>
    <mergeCell ref="H1:I7"/>
    <mergeCell ref="A3:A7"/>
    <mergeCell ref="B3:D3"/>
    <mergeCell ref="B4:B7"/>
    <mergeCell ref="C4:D4"/>
    <mergeCell ref="C5:D5"/>
    <mergeCell ref="C6:D6"/>
    <mergeCell ref="C7:D7"/>
  </mergeCells>
  <dataValidations count="5">
    <dataValidation type="textLength" allowBlank="1" showErrorMessage="1" sqref="H9:H33">
      <formula1>0</formula1>
      <formula2>255</formula2>
    </dataValidation>
    <dataValidation type="list" allowBlank="1" showErrorMessage="1" sqref="C9:C33">
      <formula1>Уровень5</formula1>
      <formula2>0</formula2>
    </dataValidation>
    <dataValidation type="list" allowBlank="1" showErrorMessage="1" sqref="D9:D33">
      <formula1>Участники2</formula1>
      <formula2>0</formula2>
    </dataValidation>
    <dataValidation type="list" allowBlank="1" showErrorMessage="1" sqref="G9:G33">
      <formula1>Место</formula1>
      <formula2>0</formula2>
    </dataValidation>
    <dataValidation type="date" allowBlank="1" showErrorMessage="1" sqref="F9:F33">
      <formula1>41640</formula1>
      <formula2>42004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2"/>
  <sheetViews>
    <sheetView topLeftCell="A2" zoomScale="90" zoomScaleNormal="90" workbookViewId="0">
      <selection activeCell="B21" sqref="B21"/>
    </sheetView>
  </sheetViews>
  <sheetFormatPr defaultRowHeight="12.75" x14ac:dyDescent="0.2"/>
  <cols>
    <col min="1" max="1" width="4.7109375" style="8" bestFit="1" customWidth="1"/>
    <col min="2" max="7" width="15.5703125" style="8" bestFit="1" customWidth="1"/>
    <col min="8" max="8" width="8.7109375" style="8" bestFit="1" customWidth="1"/>
    <col min="9" max="11" width="6.7109375" style="8" bestFit="1" customWidth="1"/>
    <col min="12" max="12" width="10.7109375" style="8" bestFit="1" customWidth="1"/>
    <col min="13" max="16" width="8.7109375" style="8" bestFit="1" customWidth="1"/>
    <col min="17" max="257" width="9.140625" style="8" bestFit="1" customWidth="1"/>
    <col min="258" max="1025" width="9.140625" bestFit="1" customWidth="1"/>
  </cols>
  <sheetData>
    <row r="1" spans="1:16" s="9" customFormat="1" ht="12.75" customHeight="1" x14ac:dyDescent="0.2">
      <c r="A1" s="78" t="s">
        <v>8</v>
      </c>
      <c r="B1" s="78" t="s">
        <v>9</v>
      </c>
      <c r="C1" s="78"/>
      <c r="D1" s="78"/>
      <c r="E1" s="78"/>
      <c r="F1" s="78" t="s">
        <v>10</v>
      </c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s="9" customFormat="1" ht="12.75" customHeight="1" x14ac:dyDescent="0.2">
      <c r="A2" s="78"/>
      <c r="B2" s="78"/>
      <c r="C2" s="78"/>
      <c r="D2" s="78"/>
      <c r="E2" s="78"/>
      <c r="F2" s="78" t="s">
        <v>177</v>
      </c>
      <c r="G2" s="78" t="s">
        <v>178</v>
      </c>
      <c r="H2" s="78"/>
      <c r="I2" s="78"/>
      <c r="J2" s="78"/>
      <c r="K2" s="78"/>
      <c r="L2" s="78"/>
      <c r="M2" s="78"/>
      <c r="N2" s="78"/>
      <c r="O2" s="78"/>
      <c r="P2" s="78"/>
    </row>
    <row r="3" spans="1:16" s="9" customFormat="1" ht="12.75" customHeight="1" x14ac:dyDescent="0.2">
      <c r="A3" s="78"/>
      <c r="B3" s="78"/>
      <c r="C3" s="78"/>
      <c r="D3" s="78"/>
      <c r="E3" s="78"/>
      <c r="F3" s="78"/>
      <c r="G3" s="78" t="s">
        <v>179</v>
      </c>
      <c r="H3" s="78"/>
      <c r="I3" s="78"/>
      <c r="J3" s="78" t="s">
        <v>180</v>
      </c>
      <c r="K3" s="78"/>
      <c r="L3" s="78"/>
      <c r="M3" s="78"/>
      <c r="N3" s="78" t="s">
        <v>181</v>
      </c>
      <c r="O3" s="78"/>
      <c r="P3" s="78"/>
    </row>
    <row r="4" spans="1:16" s="10" customFormat="1" ht="35.1" customHeight="1" x14ac:dyDescent="0.2">
      <c r="A4" s="29" t="s">
        <v>182</v>
      </c>
      <c r="B4" s="79" t="s">
        <v>183</v>
      </c>
      <c r="C4" s="79"/>
      <c r="D4" s="79"/>
      <c r="E4" s="79"/>
      <c r="F4" s="10">
        <f>SUM(G4:P4)</f>
        <v>0</v>
      </c>
      <c r="G4" s="79">
        <f>COUNTIFS($D$17:$D$42,"фундамент*")</f>
        <v>0</v>
      </c>
      <c r="H4" s="79"/>
      <c r="I4" s="79"/>
      <c r="J4" s="79">
        <f>COUNTIFS($D$17:$D$42,"приклад*")</f>
        <v>0</v>
      </c>
      <c r="K4" s="79"/>
      <c r="L4" s="79"/>
      <c r="M4" s="79"/>
      <c r="N4" s="79">
        <f>COUNTIFS($D$17:$D$42,"разработ*")</f>
        <v>0</v>
      </c>
      <c r="O4" s="79"/>
      <c r="P4" s="79"/>
    </row>
    <row r="5" spans="1:16" s="10" customFormat="1" ht="35.1" customHeight="1" x14ac:dyDescent="0.2">
      <c r="A5" s="94" t="s">
        <v>184</v>
      </c>
      <c r="B5" s="79" t="s">
        <v>185</v>
      </c>
      <c r="C5" s="79"/>
      <c r="D5" s="79"/>
      <c r="E5" s="79"/>
      <c r="F5" s="10">
        <f>SUM(F6:F14)</f>
        <v>0</v>
      </c>
      <c r="G5" s="79">
        <f>SUM(G6:I14)</f>
        <v>0</v>
      </c>
      <c r="H5" s="79"/>
      <c r="I5" s="79"/>
      <c r="J5" s="79">
        <f>SUM(J6:M14)</f>
        <v>0</v>
      </c>
      <c r="K5" s="79"/>
      <c r="L5" s="79"/>
      <c r="M5" s="79"/>
      <c r="N5" s="79">
        <f>SUM(N6:P14)</f>
        <v>0</v>
      </c>
      <c r="O5" s="79"/>
      <c r="P5" s="79"/>
    </row>
    <row r="6" spans="1:16" s="9" customFormat="1" ht="12.75" customHeight="1" x14ac:dyDescent="0.2">
      <c r="A6" s="94"/>
      <c r="B6" s="78" t="s">
        <v>15</v>
      </c>
      <c r="C6" s="78" t="s">
        <v>186</v>
      </c>
      <c r="D6" s="78"/>
      <c r="E6" s="78"/>
      <c r="F6" s="9">
        <f t="shared" ref="F6:F9" si="0">SUM(G6:P6)</f>
        <v>0</v>
      </c>
      <c r="G6" s="78">
        <f>SUMIFS($L$17:$L$42,$D$17:$D$42,"фундамент*",$E$17:$E$42,"собствен*")</f>
        <v>0</v>
      </c>
      <c r="H6" s="78"/>
      <c r="I6" s="78"/>
      <c r="J6" s="78">
        <f>SUMIFS($L$17:$L$42,$D$17:$D$42,"приклад*",$E$17:$E$42,"собствен*")</f>
        <v>0</v>
      </c>
      <c r="K6" s="78"/>
      <c r="L6" s="78"/>
      <c r="M6" s="78"/>
      <c r="N6" s="78">
        <f>SUMIFS($L$17:$L$42,$D$17:$D$42,"разработ*",$E$17:$E$42,"собствен*")</f>
        <v>0</v>
      </c>
      <c r="O6" s="78"/>
      <c r="P6" s="78"/>
    </row>
    <row r="7" spans="1:16" s="9" customFormat="1" ht="12.75" hidden="1" customHeight="1" x14ac:dyDescent="0.2">
      <c r="A7" s="94"/>
      <c r="B7" s="78"/>
      <c r="C7" s="78" t="s">
        <v>187</v>
      </c>
      <c r="D7" s="78"/>
      <c r="E7" s="78"/>
      <c r="F7" s="9">
        <f t="shared" si="0"/>
        <v>0</v>
      </c>
      <c r="G7" s="78">
        <f>SUMIFS($L$17:$L$42,$D$17:$D$42,"фундамент*",$E$17:$E$42,"*учредит*")</f>
        <v>0</v>
      </c>
      <c r="H7" s="78"/>
      <c r="I7" s="78"/>
      <c r="J7" s="78">
        <f>SUMIFS($L$17:$L$42,$D$17:$D$42,"приклад*",$E$17:$E$42,"*учредит*")</f>
        <v>0</v>
      </c>
      <c r="K7" s="78"/>
      <c r="L7" s="78"/>
      <c r="M7" s="78"/>
      <c r="N7" s="78">
        <f>SUMIFS($L$17:$L$42,$D$17:$D$42,"разработ*",$E$17:$E$42,"*учредит*")</f>
        <v>0</v>
      </c>
      <c r="O7" s="78"/>
      <c r="P7" s="78"/>
    </row>
    <row r="8" spans="1:16" s="9" customFormat="1" ht="12.75" customHeight="1" x14ac:dyDescent="0.2">
      <c r="A8" s="94"/>
      <c r="B8" s="78"/>
      <c r="C8" s="78" t="s">
        <v>188</v>
      </c>
      <c r="D8" s="78"/>
      <c r="E8" s="78"/>
      <c r="F8" s="9">
        <f t="shared" si="0"/>
        <v>0</v>
      </c>
      <c r="G8" s="78">
        <f>SUMIFS($L$17:$L$42,$D$17:$D$42,"фундамент*",$E$17:$E$42,"*Минобрнауки*")</f>
        <v>0</v>
      </c>
      <c r="H8" s="78"/>
      <c r="I8" s="78"/>
      <c r="J8" s="78">
        <f>SUMIFS($L$17:$L$42,$D$17:$D$42,"приклад*",$E$17:$E$42,"*Минобрнауки*")</f>
        <v>0</v>
      </c>
      <c r="K8" s="78"/>
      <c r="L8" s="78"/>
      <c r="M8" s="78"/>
      <c r="N8" s="78">
        <f>SUMIFS($L$17:$L$42,$D$17:$D$42,"разработ*",$E$17:$E$42,"*Минобрнауки*")</f>
        <v>0</v>
      </c>
      <c r="O8" s="78"/>
      <c r="P8" s="78"/>
    </row>
    <row r="9" spans="1:16" s="9" customFormat="1" ht="25.5" customHeight="1" x14ac:dyDescent="0.2">
      <c r="A9" s="94"/>
      <c r="B9" s="78"/>
      <c r="C9" s="78" t="s">
        <v>189</v>
      </c>
      <c r="D9" s="78"/>
      <c r="E9" s="78"/>
      <c r="F9" s="9">
        <f t="shared" si="0"/>
        <v>0</v>
      </c>
      <c r="G9" s="78">
        <f>SUMIFS($L$17:$L$42,$D$17:$D$42,"фундамент*",$E$17:$E$42,"*РАН*")</f>
        <v>0</v>
      </c>
      <c r="H9" s="78"/>
      <c r="I9" s="78"/>
      <c r="J9" s="78">
        <f>SUMIFS($L$17:$L$42,$D$17:$D$42,"приклад*",$E$17:$E$42,"*РАН*")</f>
        <v>0</v>
      </c>
      <c r="K9" s="78"/>
      <c r="L9" s="78"/>
      <c r="M9" s="78"/>
      <c r="N9" s="78">
        <f>SUMIFS($L$17:$L$42,$D$17:$D$42,"разработ*",$E$17:$E$42,"*РАН*")</f>
        <v>0</v>
      </c>
      <c r="O9" s="78"/>
      <c r="P9" s="78"/>
    </row>
    <row r="10" spans="1:16" s="9" customFormat="1" ht="25.5" customHeight="1" x14ac:dyDescent="0.2">
      <c r="A10" s="94"/>
      <c r="B10" s="78"/>
      <c r="C10" s="78" t="s">
        <v>304</v>
      </c>
      <c r="D10" s="78"/>
      <c r="E10" s="78"/>
      <c r="F10" s="9">
        <f t="shared" ref="F10:F14" si="1">SUM(G10:P10)</f>
        <v>0</v>
      </c>
      <c r="G10" s="78">
        <f>SUMIFS($L$17:$L$42,$D$17:$D$42,"фундамент*",$E$17:$E$42,"*РФФИ*")</f>
        <v>0</v>
      </c>
      <c r="H10" s="78"/>
      <c r="I10" s="78"/>
      <c r="J10" s="78">
        <f>SUMIFS($L$17:$L$42,$D$17:$D$42,"приклад*",$E$17:$E$42,"*РФФИ*")</f>
        <v>0</v>
      </c>
      <c r="K10" s="78"/>
      <c r="L10" s="78"/>
      <c r="M10" s="78"/>
      <c r="N10" s="78">
        <f>SUMIFS($L$17:$L$42,$D$17:$D$42,"разработ*",$E$17:$E$42,"*РФФИ*")</f>
        <v>0</v>
      </c>
      <c r="O10" s="78"/>
      <c r="P10" s="78"/>
    </row>
    <row r="11" spans="1:16" s="9" customFormat="1" ht="25.5" customHeight="1" x14ac:dyDescent="0.2">
      <c r="A11" s="94"/>
      <c r="B11" s="78"/>
      <c r="C11" s="78" t="s">
        <v>191</v>
      </c>
      <c r="D11" s="78"/>
      <c r="E11" s="78"/>
      <c r="F11" s="9">
        <f t="shared" si="1"/>
        <v>0</v>
      </c>
      <c r="G11" s="78">
        <f>SUMIFS($L$17:$L$42,$D$17:$D$42,"фундамент*",$E$17:$E$42,"*местных*")</f>
        <v>0</v>
      </c>
      <c r="H11" s="78"/>
      <c r="I11" s="78"/>
      <c r="J11" s="78">
        <f>SUMIFS($L$17:$L$42,$D$17:$D$42,"приклад*",$E$17:$E$42,"*местных*")</f>
        <v>0</v>
      </c>
      <c r="K11" s="78"/>
      <c r="L11" s="78"/>
      <c r="M11" s="78"/>
      <c r="N11" s="78">
        <f>SUMIFS($L$17:$L$42,$D$17:$D$42,"разработ*",$E$17:$E$42,"*местных*")</f>
        <v>0</v>
      </c>
      <c r="O11" s="78"/>
      <c r="P11" s="78"/>
    </row>
    <row r="12" spans="1:16" s="9" customFormat="1" ht="12.75" customHeight="1" x14ac:dyDescent="0.2">
      <c r="A12" s="94"/>
      <c r="B12" s="78"/>
      <c r="C12" s="78" t="s">
        <v>192</v>
      </c>
      <c r="D12" s="78"/>
      <c r="E12" s="78"/>
      <c r="F12" s="9">
        <f t="shared" si="1"/>
        <v>0</v>
      </c>
      <c r="G12" s="78">
        <f>SUMIFS($L$17:$L$42,$D$17:$D$42,"фундамент*",$E$17:$E$42,"*хоздоговор*")</f>
        <v>0</v>
      </c>
      <c r="H12" s="78"/>
      <c r="I12" s="78"/>
      <c r="J12" s="78">
        <f>SUMIFS($L$17:$L$42,$D$17:$D$42,"приклад*",$E$17:$E$42,"*хоздоговор*")</f>
        <v>0</v>
      </c>
      <c r="K12" s="78"/>
      <c r="L12" s="78"/>
      <c r="M12" s="78"/>
      <c r="N12" s="78">
        <f>SUMIFS($L$17:$L$42,$D$17:$D$42,"разработ*",$E$17:$E$42,"*хоздоговор*")</f>
        <v>0</v>
      </c>
      <c r="O12" s="78"/>
      <c r="P12" s="78"/>
    </row>
    <row r="13" spans="1:16" s="9" customFormat="1" ht="12.75" customHeight="1" x14ac:dyDescent="0.2">
      <c r="A13" s="94"/>
      <c r="B13" s="78"/>
      <c r="C13" s="78" t="s">
        <v>193</v>
      </c>
      <c r="D13" s="78"/>
      <c r="E13" s="78"/>
      <c r="F13" s="9">
        <f t="shared" si="1"/>
        <v>0</v>
      </c>
      <c r="G13" s="78">
        <f>SUMIFS($L$17:$L$42,$D$17:$D$42,"фундамент*",$E$17:$E$42,"*зарубежн*")</f>
        <v>0</v>
      </c>
      <c r="H13" s="78"/>
      <c r="I13" s="78"/>
      <c r="J13" s="78">
        <f>SUMIFS($L$17:$L$42,$D$17:$D$42,"приклад*",$E$17:$E$42,"*зарубежн*")</f>
        <v>0</v>
      </c>
      <c r="K13" s="78"/>
      <c r="L13" s="78"/>
      <c r="M13" s="78"/>
      <c r="N13" s="78">
        <f>SUMIFS($L$17:$L$42,$D$17:$D$42,"разработ*",$E$17:$E$42,"*зарубежн*")</f>
        <v>0</v>
      </c>
      <c r="O13" s="78"/>
      <c r="P13" s="78"/>
    </row>
    <row r="14" spans="1:16" s="9" customFormat="1" ht="12.75" customHeight="1" x14ac:dyDescent="0.2">
      <c r="A14" s="94"/>
      <c r="B14" s="78"/>
      <c r="C14" s="78" t="s">
        <v>194</v>
      </c>
      <c r="D14" s="78"/>
      <c r="E14" s="78"/>
      <c r="F14" s="9">
        <f t="shared" si="1"/>
        <v>0</v>
      </c>
      <c r="G14" s="78">
        <f>SUMIFS($L$17:$L$42,$D$17:$D$42,"фундамент*",$E$17:$E$42,"*из других ист*")</f>
        <v>0</v>
      </c>
      <c r="H14" s="78"/>
      <c r="I14" s="78"/>
      <c r="J14" s="78">
        <f>SUMIFS($L$17:$L$42,$D$17:$D$42,"приклад*",$E$17:$E$42,"*из других ист*")</f>
        <v>0</v>
      </c>
      <c r="K14" s="78"/>
      <c r="L14" s="78"/>
      <c r="M14" s="78"/>
      <c r="N14" s="78">
        <f>SUMIFS($L$17:$L$42,$D$17:$D$42,"разработ*",$E$17:$E$42,"*из других ист*")</f>
        <v>0</v>
      </c>
      <c r="O14" s="78"/>
      <c r="P14" s="78"/>
    </row>
    <row r="15" spans="1:16" s="9" customFormat="1" ht="12.75" customHeight="1" x14ac:dyDescent="0.2">
      <c r="A15" s="78" t="s">
        <v>21</v>
      </c>
      <c r="B15" s="78" t="s">
        <v>195</v>
      </c>
      <c r="C15" s="78" t="s">
        <v>196</v>
      </c>
      <c r="D15" s="78" t="s">
        <v>197</v>
      </c>
      <c r="E15" s="78" t="s">
        <v>198</v>
      </c>
      <c r="F15" s="78" t="s">
        <v>199</v>
      </c>
      <c r="G15" s="78" t="s">
        <v>200</v>
      </c>
      <c r="H15" s="78"/>
      <c r="I15" s="78" t="s">
        <v>201</v>
      </c>
      <c r="J15" s="78"/>
      <c r="K15" s="78"/>
      <c r="L15" s="78" t="s">
        <v>202</v>
      </c>
      <c r="M15" s="78" t="s">
        <v>203</v>
      </c>
      <c r="N15" s="78"/>
      <c r="O15" s="78"/>
      <c r="P15" s="78"/>
    </row>
    <row r="16" spans="1:16" s="9" customFormat="1" ht="63.75" customHeight="1" x14ac:dyDescent="0.2">
      <c r="A16" s="78"/>
      <c r="B16" s="78"/>
      <c r="C16" s="78"/>
      <c r="D16" s="78"/>
      <c r="E16" s="78"/>
      <c r="F16" s="78"/>
      <c r="G16" s="9" t="s">
        <v>204</v>
      </c>
      <c r="H16" s="9" t="s">
        <v>133</v>
      </c>
      <c r="I16" s="9" t="s">
        <v>205</v>
      </c>
      <c r="J16" s="9" t="s">
        <v>206</v>
      </c>
      <c r="K16" s="9" t="s">
        <v>207</v>
      </c>
      <c r="L16" s="78"/>
      <c r="M16" s="78"/>
    </row>
    <row r="17" spans="1:1" x14ac:dyDescent="0.2">
      <c r="A17" s="8">
        <v>1</v>
      </c>
    </row>
    <row r="18" spans="1:1" x14ac:dyDescent="0.2">
      <c r="A18" s="8">
        <v>2</v>
      </c>
    </row>
    <row r="19" spans="1:1" x14ac:dyDescent="0.2">
      <c r="A19" s="8">
        <v>3</v>
      </c>
    </row>
    <row r="20" spans="1:1" x14ac:dyDescent="0.2">
      <c r="A20" s="8">
        <v>4</v>
      </c>
    </row>
    <row r="21" spans="1:1" x14ac:dyDescent="0.2">
      <c r="A21" s="8">
        <v>5</v>
      </c>
    </row>
    <row r="22" spans="1:1" x14ac:dyDescent="0.2">
      <c r="A22" s="8">
        <v>6</v>
      </c>
    </row>
    <row r="23" spans="1:1" x14ac:dyDescent="0.2">
      <c r="A23" s="8">
        <v>7</v>
      </c>
    </row>
    <row r="24" spans="1:1" x14ac:dyDescent="0.2">
      <c r="A24" s="8">
        <v>8</v>
      </c>
    </row>
    <row r="25" spans="1:1" x14ac:dyDescent="0.2">
      <c r="A25" s="8">
        <v>9</v>
      </c>
    </row>
    <row r="26" spans="1:1" x14ac:dyDescent="0.2">
      <c r="A26" s="8">
        <v>10</v>
      </c>
    </row>
    <row r="27" spans="1:1" x14ac:dyDescent="0.2">
      <c r="A27" s="8">
        <v>11</v>
      </c>
    </row>
    <row r="28" spans="1:1" x14ac:dyDescent="0.2">
      <c r="A28" s="8">
        <v>12</v>
      </c>
    </row>
    <row r="29" spans="1:1" x14ac:dyDescent="0.2">
      <c r="A29" s="8">
        <v>13</v>
      </c>
    </row>
    <row r="30" spans="1:1" x14ac:dyDescent="0.2">
      <c r="A30" s="8">
        <v>14</v>
      </c>
    </row>
    <row r="31" spans="1:1" x14ac:dyDescent="0.2">
      <c r="A31" s="8">
        <v>15</v>
      </c>
    </row>
    <row r="32" spans="1:1" x14ac:dyDescent="0.2">
      <c r="A32" s="8">
        <v>16</v>
      </c>
    </row>
    <row r="33" spans="1:1" x14ac:dyDescent="0.2">
      <c r="A33" s="8">
        <v>17</v>
      </c>
    </row>
    <row r="34" spans="1:1" x14ac:dyDescent="0.2">
      <c r="A34" s="8">
        <v>18</v>
      </c>
    </row>
    <row r="35" spans="1:1" x14ac:dyDescent="0.2">
      <c r="A35" s="8">
        <v>19</v>
      </c>
    </row>
    <row r="36" spans="1:1" x14ac:dyDescent="0.2">
      <c r="A36" s="8">
        <v>20</v>
      </c>
    </row>
    <row r="37" spans="1:1" x14ac:dyDescent="0.2">
      <c r="A37" s="8">
        <v>21</v>
      </c>
    </row>
    <row r="38" spans="1:1" x14ac:dyDescent="0.2">
      <c r="A38" s="8">
        <v>22</v>
      </c>
    </row>
    <row r="39" spans="1:1" x14ac:dyDescent="0.2">
      <c r="A39" s="8">
        <v>23</v>
      </c>
    </row>
    <row r="40" spans="1:1" x14ac:dyDescent="0.2">
      <c r="A40" s="8">
        <v>24</v>
      </c>
    </row>
    <row r="41" spans="1:1" x14ac:dyDescent="0.2">
      <c r="A41" s="8">
        <v>25</v>
      </c>
    </row>
    <row r="42" spans="1:1" x14ac:dyDescent="0.2">
      <c r="A42" s="8">
        <v>26</v>
      </c>
    </row>
  </sheetData>
  <mergeCells count="65">
    <mergeCell ref="N15:P15"/>
    <mergeCell ref="F15:F16"/>
    <mergeCell ref="G15:H15"/>
    <mergeCell ref="I15:K15"/>
    <mergeCell ref="L15:L16"/>
    <mergeCell ref="M15:M16"/>
    <mergeCell ref="A15:A16"/>
    <mergeCell ref="B15:B16"/>
    <mergeCell ref="C15:C16"/>
    <mergeCell ref="D15:D16"/>
    <mergeCell ref="E15:E16"/>
    <mergeCell ref="C13:E13"/>
    <mergeCell ref="G13:I13"/>
    <mergeCell ref="J13:M13"/>
    <mergeCell ref="N13:P13"/>
    <mergeCell ref="C14:E14"/>
    <mergeCell ref="G14:I14"/>
    <mergeCell ref="J14:M14"/>
    <mergeCell ref="N14:P14"/>
    <mergeCell ref="C11:E11"/>
    <mergeCell ref="G11:I11"/>
    <mergeCell ref="J11:M11"/>
    <mergeCell ref="N11:P11"/>
    <mergeCell ref="C12:E12"/>
    <mergeCell ref="G12:I12"/>
    <mergeCell ref="J12:M12"/>
    <mergeCell ref="N12:P12"/>
    <mergeCell ref="C9:E9"/>
    <mergeCell ref="G9:I9"/>
    <mergeCell ref="J9:M9"/>
    <mergeCell ref="N9:P9"/>
    <mergeCell ref="C10:E10"/>
    <mergeCell ref="G10:I10"/>
    <mergeCell ref="J10:M10"/>
    <mergeCell ref="N10:P10"/>
    <mergeCell ref="J7:M7"/>
    <mergeCell ref="N7:P7"/>
    <mergeCell ref="C8:E8"/>
    <mergeCell ref="G8:I8"/>
    <mergeCell ref="J8:M8"/>
    <mergeCell ref="N8:P8"/>
    <mergeCell ref="B4:E4"/>
    <mergeCell ref="G4:I4"/>
    <mergeCell ref="J4:M4"/>
    <mergeCell ref="N4:P4"/>
    <mergeCell ref="A5:A14"/>
    <mergeCell ref="B5:E5"/>
    <mergeCell ref="G5:I5"/>
    <mergeCell ref="J5:M5"/>
    <mergeCell ref="N5:P5"/>
    <mergeCell ref="B6:B14"/>
    <mergeCell ref="C6:E6"/>
    <mergeCell ref="G6:I6"/>
    <mergeCell ref="J6:M6"/>
    <mergeCell ref="N6:P6"/>
    <mergeCell ref="C7:E7"/>
    <mergeCell ref="G7:I7"/>
    <mergeCell ref="A1:A3"/>
    <mergeCell ref="B1:E3"/>
    <mergeCell ref="F1:P1"/>
    <mergeCell ref="F2:F3"/>
    <mergeCell ref="G2:P2"/>
    <mergeCell ref="G3:I3"/>
    <mergeCell ref="J3:M3"/>
    <mergeCell ref="N3:P3"/>
  </mergeCells>
  <dataValidations count="7">
    <dataValidation type="whole" operator="greaterThanOrEqual" allowBlank="1" showErrorMessage="1" sqref="I17:K42">
      <formula1>0</formula1>
      <formula2>0</formula2>
    </dataValidation>
    <dataValidation type="decimal" operator="greaterThanOrEqual" allowBlank="1" showErrorMessage="1" sqref="L17:P42">
      <formula1>0</formula1>
      <formula2>0</formula2>
    </dataValidation>
    <dataValidation type="textLength" allowBlank="1" showErrorMessage="1" sqref="B17:C42 F17:F42">
      <formula1>0</formula1>
      <formula2>255</formula2>
    </dataValidation>
    <dataValidation type="list" allowBlank="1" showErrorMessage="1" sqref="D17:D42">
      <formula1>ВидНИР</formula1>
      <formula2>0</formula2>
    </dataValidation>
    <dataValidation type="list" allowBlank="1" showErrorMessage="1" sqref="E17:E42">
      <formula1>Источник</formula1>
      <formula2>0</formula2>
    </dataValidation>
    <dataValidation type="list" allowBlank="1" showErrorMessage="1" sqref="H17:H42">
      <formula1>Степень</formula1>
      <formula2>0</formula2>
    </dataValidation>
    <dataValidation type="textLength" allowBlank="1" showErrorMessage="1" sqref="G17:G42">
      <formula1>0</formula1>
      <formula2>55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79" firstPageNumber="0" fitToHeight="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24"/>
  <sheetViews>
    <sheetView view="pageBreakPreview" topLeftCell="A4" zoomScale="90" zoomScaleNormal="100" zoomScaleSheetLayoutView="90" workbookViewId="0">
      <selection activeCell="J27" sqref="J27"/>
    </sheetView>
  </sheetViews>
  <sheetFormatPr defaultRowHeight="12.75" x14ac:dyDescent="0.2"/>
  <cols>
    <col min="1" max="1" width="4.7109375" style="8" bestFit="1" customWidth="1"/>
    <col min="2" max="2" width="10.7109375" style="8" bestFit="1" customWidth="1"/>
    <col min="3" max="16" width="12.7109375" style="8" bestFit="1" customWidth="1"/>
    <col min="17" max="257" width="9.140625" style="8" bestFit="1" customWidth="1"/>
    <col min="258" max="1025" width="9.140625" bestFit="1" customWidth="1"/>
  </cols>
  <sheetData>
    <row r="1" spans="1:11" s="9" customFormat="1" ht="12.75" customHeight="1" x14ac:dyDescent="0.2">
      <c r="A1" s="9" t="s">
        <v>8</v>
      </c>
      <c r="B1" s="78" t="s">
        <v>9</v>
      </c>
      <c r="C1" s="78"/>
      <c r="D1" s="78"/>
      <c r="E1" s="78"/>
      <c r="F1" s="78"/>
      <c r="G1" s="78"/>
      <c r="H1" s="78"/>
      <c r="I1" s="78"/>
      <c r="J1" s="78"/>
      <c r="K1" s="78"/>
    </row>
    <row r="2" spans="1:11" s="10" customFormat="1" ht="24.95" customHeight="1" x14ac:dyDescent="0.2">
      <c r="A2" s="10">
        <v>13</v>
      </c>
      <c r="B2" s="79" t="s">
        <v>208</v>
      </c>
      <c r="C2" s="79"/>
      <c r="D2" s="79"/>
      <c r="E2" s="79"/>
      <c r="F2" s="79"/>
      <c r="G2" s="79"/>
      <c r="H2" s="79"/>
      <c r="I2" s="79"/>
      <c r="J2" s="79"/>
      <c r="K2" s="79"/>
    </row>
    <row r="3" spans="1:11" ht="30" customHeight="1" x14ac:dyDescent="0.2">
      <c r="A3" s="78" t="s">
        <v>209</v>
      </c>
      <c r="B3" s="78"/>
      <c r="C3" s="78"/>
      <c r="D3" s="88"/>
      <c r="E3" s="88"/>
      <c r="F3" s="88"/>
      <c r="G3" s="88"/>
      <c r="H3" s="88"/>
      <c r="I3" s="88"/>
      <c r="J3" s="88"/>
      <c r="K3" s="88"/>
    </row>
    <row r="4" spans="1:11" ht="62.25" customHeight="1" x14ac:dyDescent="0.2">
      <c r="A4" s="78" t="s">
        <v>301</v>
      </c>
      <c r="B4" s="78"/>
      <c r="C4" s="78"/>
      <c r="D4" s="88"/>
      <c r="E4" s="88"/>
      <c r="F4" s="88"/>
      <c r="G4" s="88"/>
      <c r="H4" s="88"/>
      <c r="I4" s="88"/>
      <c r="J4" s="88"/>
      <c r="K4" s="88"/>
    </row>
    <row r="5" spans="1:11" ht="12.75" customHeight="1" x14ac:dyDescent="0.2">
      <c r="A5" s="78" t="s">
        <v>210</v>
      </c>
      <c r="B5" s="78"/>
      <c r="C5" s="78"/>
      <c r="D5" s="78" t="s">
        <v>204</v>
      </c>
      <c r="E5" s="78"/>
      <c r="F5" s="78" t="s">
        <v>133</v>
      </c>
      <c r="G5" s="78"/>
      <c r="H5" s="78" t="s">
        <v>134</v>
      </c>
      <c r="I5" s="78"/>
      <c r="J5" s="78" t="s">
        <v>211</v>
      </c>
      <c r="K5" s="78"/>
    </row>
    <row r="6" spans="1:11" ht="12.75" customHeight="1" x14ac:dyDescent="0.2">
      <c r="A6" s="78"/>
      <c r="B6" s="78"/>
      <c r="C6" s="78"/>
      <c r="D6" s="88"/>
      <c r="E6" s="88"/>
      <c r="F6" s="88"/>
      <c r="G6" s="88"/>
      <c r="H6" s="88"/>
      <c r="I6" s="88"/>
      <c r="J6" s="88"/>
      <c r="K6" s="88"/>
    </row>
    <row r="7" spans="1:11" ht="12.75" customHeight="1" x14ac:dyDescent="0.2">
      <c r="A7" s="78"/>
      <c r="B7" s="78"/>
      <c r="C7" s="78"/>
      <c r="D7" s="88"/>
      <c r="E7" s="88"/>
      <c r="F7" s="88"/>
      <c r="G7" s="88"/>
      <c r="H7" s="88"/>
      <c r="I7" s="88"/>
      <c r="J7" s="88"/>
      <c r="K7" s="88"/>
    </row>
    <row r="8" spans="1:11" ht="12.75" customHeight="1" x14ac:dyDescent="0.2">
      <c r="A8" s="78"/>
      <c r="B8" s="78"/>
      <c r="C8" s="78"/>
      <c r="D8" s="88"/>
      <c r="E8" s="88"/>
      <c r="F8" s="88"/>
      <c r="G8" s="88"/>
      <c r="H8" s="88"/>
      <c r="I8" s="88"/>
      <c r="J8" s="88"/>
      <c r="K8" s="88"/>
    </row>
    <row r="9" spans="1:11" s="10" customFormat="1" ht="12.75" customHeight="1" x14ac:dyDescent="0.2">
      <c r="A9" s="79" t="s">
        <v>212</v>
      </c>
      <c r="B9" s="79"/>
      <c r="C9" s="79"/>
      <c r="D9" s="79"/>
      <c r="E9" s="79" t="s">
        <v>213</v>
      </c>
      <c r="F9" s="79"/>
      <c r="G9" s="79"/>
      <c r="H9" s="79"/>
      <c r="I9" s="79"/>
      <c r="J9" s="79"/>
      <c r="K9" s="79" t="s">
        <v>214</v>
      </c>
    </row>
    <row r="10" spans="1:11" s="10" customFormat="1" x14ac:dyDescent="0.2">
      <c r="A10" s="79"/>
      <c r="B10" s="79"/>
      <c r="C10" s="79"/>
      <c r="D10" s="79"/>
      <c r="E10" s="10">
        <v>2016</v>
      </c>
      <c r="F10" s="10">
        <v>2017</v>
      </c>
      <c r="G10" s="34">
        <v>2018</v>
      </c>
      <c r="H10" s="34">
        <v>2019</v>
      </c>
      <c r="I10" s="34">
        <v>2020</v>
      </c>
      <c r="J10" s="34">
        <v>2021</v>
      </c>
      <c r="K10" s="79"/>
    </row>
    <row r="11" spans="1:11" ht="35.1" customHeight="1" x14ac:dyDescent="0.2">
      <c r="A11" s="78" t="s">
        <v>215</v>
      </c>
      <c r="B11" s="78"/>
      <c r="C11" s="78"/>
      <c r="D11" s="9" t="s">
        <v>170</v>
      </c>
      <c r="K11" s="10">
        <f t="shared" ref="K11:K24" si="0">SUM(E11:J11)</f>
        <v>0</v>
      </c>
    </row>
    <row r="12" spans="1:11" ht="35.1" customHeight="1" x14ac:dyDescent="0.2">
      <c r="A12" s="78"/>
      <c r="B12" s="78"/>
      <c r="C12" s="78"/>
      <c r="D12" s="9" t="s">
        <v>169</v>
      </c>
      <c r="K12" s="10">
        <f t="shared" si="0"/>
        <v>0</v>
      </c>
    </row>
    <row r="13" spans="1:11" ht="30" customHeight="1" x14ac:dyDescent="0.2">
      <c r="A13" s="78" t="s">
        <v>216</v>
      </c>
      <c r="B13" s="78"/>
      <c r="C13" s="78"/>
      <c r="D13" s="78"/>
      <c r="K13" s="10">
        <f t="shared" si="0"/>
        <v>0</v>
      </c>
    </row>
    <row r="14" spans="1:11" ht="45" customHeight="1" x14ac:dyDescent="0.2">
      <c r="A14" s="78" t="s">
        <v>217</v>
      </c>
      <c r="B14" s="78"/>
      <c r="C14" s="78"/>
      <c r="D14" s="78"/>
      <c r="K14" s="10">
        <f t="shared" si="0"/>
        <v>0</v>
      </c>
    </row>
    <row r="15" spans="1:11" ht="30" customHeight="1" x14ac:dyDescent="0.2">
      <c r="A15" s="78" t="s">
        <v>218</v>
      </c>
      <c r="B15" s="78"/>
      <c r="C15" s="78"/>
      <c r="D15" s="78"/>
      <c r="K15" s="10">
        <f t="shared" si="0"/>
        <v>0</v>
      </c>
    </row>
    <row r="16" spans="1:11" ht="24.95" customHeight="1" x14ac:dyDescent="0.2">
      <c r="A16" s="78" t="s">
        <v>219</v>
      </c>
      <c r="B16" s="78"/>
      <c r="C16" s="78"/>
      <c r="D16" s="9" t="s">
        <v>220</v>
      </c>
      <c r="K16" s="10">
        <f t="shared" si="0"/>
        <v>0</v>
      </c>
    </row>
    <row r="17" spans="1:11" ht="24.95" customHeight="1" x14ac:dyDescent="0.2">
      <c r="A17" s="78"/>
      <c r="B17" s="78"/>
      <c r="C17" s="78"/>
      <c r="D17" s="9" t="s">
        <v>221</v>
      </c>
      <c r="K17" s="10">
        <f t="shared" si="0"/>
        <v>0</v>
      </c>
    </row>
    <row r="18" spans="1:11" ht="45" customHeight="1" x14ac:dyDescent="0.2">
      <c r="A18" s="78" t="s">
        <v>222</v>
      </c>
      <c r="B18" s="78"/>
      <c r="C18" s="78"/>
      <c r="D18" s="78"/>
      <c r="K18" s="10">
        <f t="shared" si="0"/>
        <v>0</v>
      </c>
    </row>
    <row r="19" spans="1:11" ht="24.95" customHeight="1" x14ac:dyDescent="0.2">
      <c r="A19" s="78" t="s">
        <v>223</v>
      </c>
      <c r="B19" s="78"/>
      <c r="C19" s="78"/>
      <c r="D19" s="9" t="s">
        <v>224</v>
      </c>
      <c r="K19" s="10">
        <f t="shared" si="0"/>
        <v>0</v>
      </c>
    </row>
    <row r="20" spans="1:11" ht="45" customHeight="1" x14ac:dyDescent="0.2">
      <c r="A20" s="78"/>
      <c r="B20" s="78"/>
      <c r="C20" s="78"/>
      <c r="D20" s="9" t="s">
        <v>225</v>
      </c>
      <c r="K20" s="10">
        <f t="shared" si="0"/>
        <v>0</v>
      </c>
    </row>
    <row r="21" spans="1:11" ht="30" customHeight="1" x14ac:dyDescent="0.2">
      <c r="A21" s="78" t="s">
        <v>226</v>
      </c>
      <c r="B21" s="78"/>
      <c r="C21" s="78"/>
      <c r="D21" s="78"/>
      <c r="K21" s="10">
        <f t="shared" si="0"/>
        <v>0</v>
      </c>
    </row>
    <row r="22" spans="1:11" ht="30" customHeight="1" x14ac:dyDescent="0.2">
      <c r="A22" s="78" t="s">
        <v>227</v>
      </c>
      <c r="B22" s="78"/>
      <c r="C22" s="78"/>
      <c r="D22" s="9" t="s">
        <v>228</v>
      </c>
      <c r="K22" s="30">
        <f t="shared" si="0"/>
        <v>0</v>
      </c>
    </row>
    <row r="23" spans="1:11" ht="24.95" customHeight="1" x14ac:dyDescent="0.2">
      <c r="A23" s="78"/>
      <c r="B23" s="78"/>
      <c r="C23" s="78"/>
      <c r="D23" s="9" t="s">
        <v>229</v>
      </c>
      <c r="K23" s="30">
        <f t="shared" si="0"/>
        <v>0</v>
      </c>
    </row>
    <row r="24" spans="1:11" ht="24.95" customHeight="1" x14ac:dyDescent="0.2">
      <c r="A24" s="78"/>
      <c r="B24" s="78"/>
      <c r="C24" s="78"/>
      <c r="D24" s="9" t="s">
        <v>230</v>
      </c>
      <c r="K24" s="30">
        <f t="shared" si="0"/>
        <v>0</v>
      </c>
    </row>
  </sheetData>
  <mergeCells count="35">
    <mergeCell ref="A19:C20"/>
    <mergeCell ref="A21:D21"/>
    <mergeCell ref="A22:C24"/>
    <mergeCell ref="A13:D13"/>
    <mergeCell ref="A14:D14"/>
    <mergeCell ref="A15:D15"/>
    <mergeCell ref="A16:C17"/>
    <mergeCell ref="A18:D18"/>
    <mergeCell ref="A9:D10"/>
    <mergeCell ref="E9:J9"/>
    <mergeCell ref="K9:K10"/>
    <mergeCell ref="A11:C12"/>
    <mergeCell ref="A5:C8"/>
    <mergeCell ref="D5:E5"/>
    <mergeCell ref="F5:G5"/>
    <mergeCell ref="H5:I5"/>
    <mergeCell ref="J5:K5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F8:G8"/>
    <mergeCell ref="H8:I8"/>
    <mergeCell ref="J8:K8"/>
    <mergeCell ref="B1:K1"/>
    <mergeCell ref="B2:K2"/>
    <mergeCell ref="A3:C3"/>
    <mergeCell ref="D3:K3"/>
    <mergeCell ref="A4:C4"/>
    <mergeCell ref="D4:K4"/>
  </mergeCells>
  <dataValidations count="4">
    <dataValidation type="whole" operator="greaterThanOrEqual" allowBlank="1" showErrorMessage="1" sqref="E11:K23 K24">
      <formula1>0</formula1>
      <formula2>0</formula2>
    </dataValidation>
    <dataValidation type="decimal" operator="greaterThanOrEqual" allowBlank="1" showErrorMessage="1" sqref="E24:J24">
      <formula1>0</formula1>
      <formula2>0</formula2>
    </dataValidation>
    <dataValidation type="list" allowBlank="1" showErrorMessage="1" sqref="F6:G8">
      <formula1>Степень</formula1>
      <formula2>0</formula2>
    </dataValidation>
    <dataValidation type="list" allowBlank="1" showErrorMessage="1" sqref="H6:I8">
      <formula1>Звание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80" firstPageNumber="0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IW115"/>
  <sheetViews>
    <sheetView workbookViewId="0">
      <selection activeCell="B102" sqref="B102"/>
    </sheetView>
  </sheetViews>
  <sheetFormatPr defaultRowHeight="12.75" x14ac:dyDescent="0.2"/>
  <cols>
    <col min="1" max="1" width="30.5703125" style="31" bestFit="1" customWidth="1"/>
    <col min="2" max="2" width="77.140625" style="31" bestFit="1" customWidth="1"/>
    <col min="3" max="257" width="28.85546875" style="31" bestFit="1" customWidth="1"/>
    <col min="258" max="1025" width="28.85546875" bestFit="1" customWidth="1"/>
  </cols>
  <sheetData>
    <row r="1" spans="1:2" x14ac:dyDescent="0.2">
      <c r="A1" s="32" t="s">
        <v>23</v>
      </c>
      <c r="B1" s="32" t="s">
        <v>231</v>
      </c>
    </row>
    <row r="2" spans="1:2" x14ac:dyDescent="0.2">
      <c r="B2" s="32" t="s">
        <v>232</v>
      </c>
    </row>
    <row r="3" spans="1:2" x14ac:dyDescent="0.2">
      <c r="B3" s="32" t="s">
        <v>233</v>
      </c>
    </row>
    <row r="4" spans="1:2" x14ac:dyDescent="0.2">
      <c r="B4" s="35" t="s">
        <v>279</v>
      </c>
    </row>
    <row r="6" spans="1:2" x14ac:dyDescent="0.2">
      <c r="A6" s="32" t="s">
        <v>234</v>
      </c>
      <c r="B6" s="32" t="s">
        <v>70</v>
      </c>
    </row>
    <row r="7" spans="1:2" x14ac:dyDescent="0.2">
      <c r="B7" s="32" t="s">
        <v>71</v>
      </c>
    </row>
    <row r="8" spans="1:2" x14ac:dyDescent="0.2">
      <c r="B8" s="32" t="s">
        <v>72</v>
      </c>
    </row>
    <row r="9" spans="1:2" hidden="1" x14ac:dyDescent="0.2">
      <c r="B9" s="32"/>
    </row>
    <row r="10" spans="1:2" x14ac:dyDescent="0.2">
      <c r="B10" s="32" t="s">
        <v>74</v>
      </c>
    </row>
    <row r="11" spans="1:2" x14ac:dyDescent="0.2">
      <c r="B11" s="32" t="s">
        <v>75</v>
      </c>
    </row>
    <row r="12" spans="1:2" x14ac:dyDescent="0.2">
      <c r="B12" s="35" t="s">
        <v>286</v>
      </c>
    </row>
    <row r="13" spans="1:2" x14ac:dyDescent="0.2">
      <c r="B13" s="32" t="s">
        <v>76</v>
      </c>
    </row>
    <row r="14" spans="1:2" x14ac:dyDescent="0.2">
      <c r="B14" s="35" t="s">
        <v>285</v>
      </c>
    </row>
    <row r="16" spans="1:2" x14ac:dyDescent="0.2">
      <c r="A16" s="32" t="s">
        <v>235</v>
      </c>
      <c r="B16" s="32" t="s">
        <v>35</v>
      </c>
    </row>
    <row r="17" spans="1:3" x14ac:dyDescent="0.2">
      <c r="B17" s="32" t="s">
        <v>236</v>
      </c>
    </row>
    <row r="18" spans="1:3" x14ac:dyDescent="0.2">
      <c r="B18" s="32" t="s">
        <v>237</v>
      </c>
    </row>
    <row r="19" spans="1:3" x14ac:dyDescent="0.2">
      <c r="B19" s="32" t="s">
        <v>124</v>
      </c>
    </row>
    <row r="20" spans="1:3" x14ac:dyDescent="0.2">
      <c r="B20" s="33" t="s">
        <v>32</v>
      </c>
    </row>
    <row r="21" spans="1:3" hidden="1" x14ac:dyDescent="0.2">
      <c r="B21" s="33"/>
    </row>
    <row r="22" spans="1:3" x14ac:dyDescent="0.2">
      <c r="B22" s="32" t="s">
        <v>28</v>
      </c>
    </row>
    <row r="23" spans="1:3" x14ac:dyDescent="0.2">
      <c r="B23" s="35" t="s">
        <v>277</v>
      </c>
    </row>
    <row r="24" spans="1:3" x14ac:dyDescent="0.2">
      <c r="B24" s="35" t="s">
        <v>278</v>
      </c>
    </row>
    <row r="25" spans="1:3" x14ac:dyDescent="0.2">
      <c r="B25" s="32"/>
    </row>
    <row r="27" spans="1:3" x14ac:dyDescent="0.2">
      <c r="A27" s="32" t="s">
        <v>238</v>
      </c>
      <c r="B27" s="32" t="s">
        <v>239</v>
      </c>
      <c r="C27" s="32" t="s">
        <v>240</v>
      </c>
    </row>
    <row r="28" spans="1:3" x14ac:dyDescent="0.2">
      <c r="A28" s="32"/>
      <c r="B28" s="35" t="s">
        <v>241</v>
      </c>
      <c r="C28" s="32"/>
    </row>
    <row r="29" spans="1:3" x14ac:dyDescent="0.2">
      <c r="A29" s="32"/>
      <c r="B29" s="32" t="s">
        <v>242</v>
      </c>
      <c r="C29" s="32"/>
    </row>
    <row r="30" spans="1:3" x14ac:dyDescent="0.2">
      <c r="A30" s="32"/>
      <c r="B30" s="32" t="s">
        <v>119</v>
      </c>
      <c r="C30" s="32"/>
    </row>
    <row r="31" spans="1:3" x14ac:dyDescent="0.2">
      <c r="A31" s="32"/>
      <c r="B31" s="32" t="s">
        <v>243</v>
      </c>
      <c r="C31" s="32"/>
    </row>
    <row r="32" spans="1:3" x14ac:dyDescent="0.2">
      <c r="B32" s="32" t="s">
        <v>244</v>
      </c>
      <c r="C32" s="32" t="s">
        <v>245</v>
      </c>
    </row>
    <row r="33" spans="1:3" hidden="1" x14ac:dyDescent="0.2">
      <c r="B33" s="32"/>
      <c r="C33" s="32"/>
    </row>
    <row r="34" spans="1:3" x14ac:dyDescent="0.2">
      <c r="B34" s="32" t="s">
        <v>114</v>
      </c>
      <c r="C34" s="32" t="s">
        <v>246</v>
      </c>
    </row>
    <row r="36" spans="1:3" x14ac:dyDescent="0.2">
      <c r="A36" s="32" t="s">
        <v>247</v>
      </c>
      <c r="B36" s="32" t="s">
        <v>248</v>
      </c>
    </row>
    <row r="37" spans="1:3" x14ac:dyDescent="0.2">
      <c r="B37" s="32" t="s">
        <v>249</v>
      </c>
    </row>
    <row r="39" spans="1:3" x14ac:dyDescent="0.2">
      <c r="A39" s="32" t="s">
        <v>250</v>
      </c>
      <c r="B39" s="35" t="s">
        <v>280</v>
      </c>
    </row>
    <row r="40" spans="1:3" x14ac:dyDescent="0.2">
      <c r="B40" s="32" t="s">
        <v>33</v>
      </c>
    </row>
    <row r="41" spans="1:3" x14ac:dyDescent="0.2">
      <c r="B41" s="32" t="s">
        <v>31</v>
      </c>
    </row>
    <row r="43" spans="1:3" x14ac:dyDescent="0.2">
      <c r="A43" s="32" t="s">
        <v>251</v>
      </c>
      <c r="B43" s="35" t="s">
        <v>281</v>
      </c>
    </row>
    <row r="44" spans="1:3" x14ac:dyDescent="0.2">
      <c r="B44" s="35" t="s">
        <v>282</v>
      </c>
    </row>
    <row r="45" spans="1:3" x14ac:dyDescent="0.2">
      <c r="B45" s="35" t="s">
        <v>283</v>
      </c>
    </row>
    <row r="47" spans="1:3" x14ac:dyDescent="0.2">
      <c r="A47" s="32" t="s">
        <v>25</v>
      </c>
      <c r="B47" s="32" t="s">
        <v>252</v>
      </c>
    </row>
    <row r="48" spans="1:3" x14ac:dyDescent="0.2">
      <c r="B48" s="32" t="s">
        <v>30</v>
      </c>
    </row>
    <row r="49" spans="1:2" x14ac:dyDescent="0.2">
      <c r="B49" s="32" t="s">
        <v>40</v>
      </c>
    </row>
    <row r="50" spans="1:2" x14ac:dyDescent="0.2">
      <c r="B50" s="32" t="s">
        <v>38</v>
      </c>
    </row>
    <row r="52" spans="1:2" x14ac:dyDescent="0.2">
      <c r="A52" s="32" t="s">
        <v>253</v>
      </c>
      <c r="B52" s="32" t="s">
        <v>129</v>
      </c>
    </row>
    <row r="53" spans="1:2" x14ac:dyDescent="0.2">
      <c r="B53" s="32" t="s">
        <v>130</v>
      </c>
    </row>
    <row r="55" spans="1:2" x14ac:dyDescent="0.2">
      <c r="A55" s="32" t="s">
        <v>81</v>
      </c>
      <c r="B55" s="32" t="s">
        <v>86</v>
      </c>
    </row>
    <row r="56" spans="1:2" x14ac:dyDescent="0.2">
      <c r="B56" s="32" t="s">
        <v>87</v>
      </c>
    </row>
    <row r="58" spans="1:2" x14ac:dyDescent="0.2">
      <c r="A58" s="32" t="s">
        <v>101</v>
      </c>
      <c r="B58" s="32" t="s">
        <v>91</v>
      </c>
    </row>
    <row r="59" spans="1:2" x14ac:dyDescent="0.2">
      <c r="B59" s="32" t="s">
        <v>92</v>
      </c>
    </row>
    <row r="60" spans="1:2" x14ac:dyDescent="0.2">
      <c r="B60" s="32" t="s">
        <v>94</v>
      </c>
    </row>
    <row r="62" spans="1:2" x14ac:dyDescent="0.2">
      <c r="A62" s="32" t="s">
        <v>102</v>
      </c>
      <c r="B62" s="32" t="s">
        <v>254</v>
      </c>
    </row>
    <row r="63" spans="1:2" x14ac:dyDescent="0.2">
      <c r="B63" s="32" t="s">
        <v>255</v>
      </c>
    </row>
    <row r="64" spans="1:2" x14ac:dyDescent="0.2">
      <c r="B64" s="32" t="s">
        <v>256</v>
      </c>
    </row>
    <row r="65" spans="1:3" hidden="1" x14ac:dyDescent="0.2">
      <c r="B65" s="32"/>
    </row>
    <row r="67" spans="1:3" x14ac:dyDescent="0.2">
      <c r="A67" s="32" t="s">
        <v>104</v>
      </c>
      <c r="B67" s="32" t="s">
        <v>303</v>
      </c>
      <c r="C67" s="32" t="s">
        <v>257</v>
      </c>
    </row>
    <row r="68" spans="1:3" x14ac:dyDescent="0.2">
      <c r="B68" s="32" t="s">
        <v>258</v>
      </c>
      <c r="C68" s="32" t="s">
        <v>259</v>
      </c>
    </row>
    <row r="69" spans="1:3" x14ac:dyDescent="0.2">
      <c r="B69" s="32" t="s">
        <v>260</v>
      </c>
      <c r="C69" s="32" t="s">
        <v>260</v>
      </c>
    </row>
    <row r="70" spans="1:3" x14ac:dyDescent="0.2">
      <c r="B70" s="32" t="s">
        <v>261</v>
      </c>
      <c r="C70" s="32" t="s">
        <v>261</v>
      </c>
    </row>
    <row r="72" spans="1:3" x14ac:dyDescent="0.2">
      <c r="A72" s="32" t="s">
        <v>176</v>
      </c>
      <c r="B72" s="35" t="s">
        <v>284</v>
      </c>
    </row>
    <row r="73" spans="1:3" x14ac:dyDescent="0.2">
      <c r="B73" s="32" t="s">
        <v>114</v>
      </c>
    </row>
    <row r="75" spans="1:3" x14ac:dyDescent="0.2">
      <c r="A75" s="32" t="s">
        <v>133</v>
      </c>
      <c r="B75" s="32" t="s">
        <v>138</v>
      </c>
    </row>
    <row r="76" spans="1:3" x14ac:dyDescent="0.2">
      <c r="B76" s="32" t="s">
        <v>145</v>
      </c>
    </row>
    <row r="77" spans="1:3" x14ac:dyDescent="0.2">
      <c r="B77" s="32" t="s">
        <v>120</v>
      </c>
    </row>
    <row r="79" spans="1:3" x14ac:dyDescent="0.2">
      <c r="A79" s="32" t="s">
        <v>134</v>
      </c>
      <c r="B79" s="32" t="s">
        <v>139</v>
      </c>
    </row>
    <row r="80" spans="1:3" x14ac:dyDescent="0.2">
      <c r="B80" s="32" t="s">
        <v>146</v>
      </c>
    </row>
    <row r="81" spans="1:2" x14ac:dyDescent="0.2">
      <c r="B81" s="32" t="s">
        <v>120</v>
      </c>
    </row>
    <row r="83" spans="1:2" x14ac:dyDescent="0.2">
      <c r="A83" s="32" t="s">
        <v>135</v>
      </c>
      <c r="B83" s="32" t="s">
        <v>153</v>
      </c>
    </row>
    <row r="84" spans="1:2" x14ac:dyDescent="0.2">
      <c r="B84" s="32" t="s">
        <v>155</v>
      </c>
    </row>
    <row r="85" spans="1:2" x14ac:dyDescent="0.2">
      <c r="B85" s="32" t="s">
        <v>139</v>
      </c>
    </row>
    <row r="86" spans="1:2" x14ac:dyDescent="0.2">
      <c r="B86" s="32" t="s">
        <v>146</v>
      </c>
    </row>
    <row r="87" spans="1:2" x14ac:dyDescent="0.2">
      <c r="B87" s="32" t="s">
        <v>140</v>
      </c>
    </row>
    <row r="88" spans="1:2" x14ac:dyDescent="0.2">
      <c r="B88" s="32" t="s">
        <v>262</v>
      </c>
    </row>
    <row r="90" spans="1:2" x14ac:dyDescent="0.2">
      <c r="A90" s="32" t="s">
        <v>162</v>
      </c>
      <c r="B90" s="32" t="s">
        <v>205</v>
      </c>
    </row>
    <row r="91" spans="1:2" x14ac:dyDescent="0.2">
      <c r="B91" s="32" t="s">
        <v>263</v>
      </c>
    </row>
    <row r="92" spans="1:2" x14ac:dyDescent="0.2">
      <c r="B92" s="32" t="s">
        <v>165</v>
      </c>
    </row>
    <row r="93" spans="1:2" x14ac:dyDescent="0.2">
      <c r="B93" s="32" t="s">
        <v>264</v>
      </c>
    </row>
    <row r="95" spans="1:2" x14ac:dyDescent="0.2">
      <c r="A95" s="32" t="s">
        <v>197</v>
      </c>
      <c r="B95" s="32" t="s">
        <v>265</v>
      </c>
    </row>
    <row r="96" spans="1:2" x14ac:dyDescent="0.2">
      <c r="B96" s="32" t="s">
        <v>266</v>
      </c>
    </row>
    <row r="97" spans="1:2" x14ac:dyDescent="0.2">
      <c r="B97" s="32" t="s">
        <v>267</v>
      </c>
    </row>
    <row r="99" spans="1:2" x14ac:dyDescent="0.2">
      <c r="A99" s="32" t="s">
        <v>198</v>
      </c>
      <c r="B99" s="32" t="s">
        <v>186</v>
      </c>
    </row>
    <row r="100" spans="1:2" x14ac:dyDescent="0.2">
      <c r="B100" s="32" t="s">
        <v>188</v>
      </c>
    </row>
    <row r="101" spans="1:2" x14ac:dyDescent="0.2">
      <c r="B101" s="32" t="s">
        <v>189</v>
      </c>
    </row>
    <row r="102" spans="1:2" x14ac:dyDescent="0.2">
      <c r="B102" s="32" t="s">
        <v>190</v>
      </c>
    </row>
    <row r="103" spans="1:2" x14ac:dyDescent="0.2">
      <c r="B103" s="32" t="s">
        <v>191</v>
      </c>
    </row>
    <row r="104" spans="1:2" x14ac:dyDescent="0.2">
      <c r="B104" s="32" t="s">
        <v>192</v>
      </c>
    </row>
    <row r="105" spans="1:2" x14ac:dyDescent="0.2">
      <c r="B105" s="32" t="s">
        <v>193</v>
      </c>
    </row>
    <row r="106" spans="1:2" x14ac:dyDescent="0.2">
      <c r="B106" s="32" t="s">
        <v>194</v>
      </c>
    </row>
    <row r="108" spans="1:2" x14ac:dyDescent="0.2">
      <c r="A108" s="32" t="s">
        <v>268</v>
      </c>
      <c r="B108" s="32" t="s">
        <v>269</v>
      </c>
    </row>
    <row r="109" spans="1:2" x14ac:dyDescent="0.2">
      <c r="B109" s="32" t="s">
        <v>270</v>
      </c>
    </row>
    <row r="111" spans="1:2" x14ac:dyDescent="0.2">
      <c r="A111" s="32" t="s">
        <v>271</v>
      </c>
      <c r="B111" s="32" t="s">
        <v>272</v>
      </c>
    </row>
    <row r="112" spans="1:2" x14ac:dyDescent="0.2">
      <c r="B112" s="32" t="s">
        <v>166</v>
      </c>
    </row>
    <row r="114" spans="1:2" x14ac:dyDescent="0.2">
      <c r="A114" s="36" t="s">
        <v>292</v>
      </c>
      <c r="B114" s="36" t="s">
        <v>293</v>
      </c>
    </row>
    <row r="115" spans="1:2" x14ac:dyDescent="0.2">
      <c r="B115" s="36" t="s">
        <v>120</v>
      </c>
    </row>
  </sheetData>
  <sheetProtection algorithmName="SHA-512" hashValue="sbAgT4bR1Kljnq5hSp4CYPrp6QTgz6M9vofqUzUd5BpE04CWg7h//gX+myU+E7slGcg+wbzVg54gpln42cVQ8A==" saltValue="eFmosiTyV+1zr5GRDTmnug==" spinCount="100000" sheet="1" formatCells="0" formatColumns="0" formatRows="0" insertColumns="0" insertRows="0" insertHyperlinks="0" deleteColumns="0" deleteRows="0" sort="0" autoFilter="0" pivotTables="0"/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4"/>
  <sheetViews>
    <sheetView view="pageBreakPreview" zoomScale="90" zoomScaleNormal="100" zoomScaleSheetLayoutView="90" workbookViewId="0">
      <selection activeCell="B14" sqref="B14"/>
    </sheetView>
  </sheetViews>
  <sheetFormatPr defaultRowHeight="12.75" x14ac:dyDescent="0.2"/>
  <cols>
    <col min="1" max="1" width="4.7109375" style="8" bestFit="1" customWidth="1"/>
    <col min="2" max="2" width="36.85546875" style="8" bestFit="1" customWidth="1"/>
    <col min="3" max="3" width="17.28515625" style="8" bestFit="1" customWidth="1"/>
    <col min="4" max="4" width="22.28515625" style="8" bestFit="1" customWidth="1"/>
    <col min="5" max="5" width="24.42578125" style="8" bestFit="1" customWidth="1"/>
    <col min="6" max="6" width="15.140625" style="8" bestFit="1" customWidth="1"/>
    <col min="7" max="7" width="12.7109375" style="8" bestFit="1" customWidth="1"/>
    <col min="8" max="8" width="24.28515625" style="8" bestFit="1" customWidth="1"/>
    <col min="9" max="257" width="9.140625" style="8" bestFit="1" customWidth="1"/>
    <col min="258" max="1025" width="9.140625" bestFit="1" customWidth="1"/>
  </cols>
  <sheetData>
    <row r="1" spans="1:8" s="9" customFormat="1" ht="12.75" customHeight="1" x14ac:dyDescent="0.2">
      <c r="A1" s="78" t="s">
        <v>8</v>
      </c>
      <c r="B1" s="78" t="s">
        <v>9</v>
      </c>
      <c r="C1" s="78"/>
      <c r="D1" s="78"/>
      <c r="E1" s="78" t="s">
        <v>10</v>
      </c>
      <c r="F1" s="78"/>
      <c r="G1" s="78"/>
      <c r="H1" s="78"/>
    </row>
    <row r="2" spans="1:8" s="9" customFormat="1" x14ac:dyDescent="0.2">
      <c r="A2" s="78"/>
      <c r="B2" s="78"/>
      <c r="C2" s="78"/>
      <c r="D2" s="78"/>
      <c r="F2" s="9" t="s">
        <v>11</v>
      </c>
      <c r="G2" s="9" t="s">
        <v>12</v>
      </c>
      <c r="H2" s="9" t="s">
        <v>13</v>
      </c>
    </row>
    <row r="3" spans="1:8" s="10" customFormat="1" ht="50.1" customHeight="1" x14ac:dyDescent="0.2">
      <c r="A3" s="79">
        <v>1</v>
      </c>
      <c r="B3" s="79" t="s">
        <v>14</v>
      </c>
      <c r="C3" s="79"/>
      <c r="D3" s="79"/>
      <c r="F3" s="10">
        <f>F4+F6+F7+F8</f>
        <v>5</v>
      </c>
      <c r="G3" s="10">
        <f>G4+G6+G7+G8</f>
        <v>0</v>
      </c>
      <c r="H3" s="10">
        <f>H4+H6+H7+H8</f>
        <v>0</v>
      </c>
    </row>
    <row r="4" spans="1:8" s="9" customFormat="1" ht="12.75" customHeight="1" x14ac:dyDescent="0.2">
      <c r="A4" s="79"/>
      <c r="B4" s="78" t="s">
        <v>15</v>
      </c>
      <c r="C4" s="80" t="s">
        <v>16</v>
      </c>
      <c r="D4" s="80"/>
      <c r="E4" s="11"/>
      <c r="F4" s="9">
        <f>COUNTIFS($C$10:$C$54,"*межд*",$D$10:$D$54,"*НПР*")</f>
        <v>5</v>
      </c>
      <c r="G4" s="9">
        <f>COUNTIFS($C$10:$C$54,"*межд*",$D$10:$D$54,"*аспирант*")</f>
        <v>0</v>
      </c>
      <c r="H4" s="9">
        <f>COUNTIFS($C$10:$C$54,"*межд*",$D$10:$D$54,"*студент*")</f>
        <v>0</v>
      </c>
    </row>
    <row r="5" spans="1:8" s="9" customFormat="1" ht="12.75" customHeight="1" x14ac:dyDescent="0.2">
      <c r="A5" s="79"/>
      <c r="B5" s="78"/>
      <c r="C5" s="81" t="s">
        <v>17</v>
      </c>
      <c r="D5" s="81"/>
      <c r="E5" s="12"/>
      <c r="F5" s="9">
        <f>COUNTIFS($C$10:$C$54,"*за рубеж*",$D$10:$D$54,"*НПР*")</f>
        <v>0</v>
      </c>
      <c r="G5" s="9">
        <f>COUNTIFS($C$42:$C$54,"*за рубеж*",$D$42:$D$54,"*аспирант*")</f>
        <v>0</v>
      </c>
      <c r="H5" s="9">
        <f>COUNTIFS($C$42:$C$54,"*за рубеж*",$D$42:$D$54,"*студент*")</f>
        <v>0</v>
      </c>
    </row>
    <row r="6" spans="1:8" s="9" customFormat="1" ht="12.75" customHeight="1" x14ac:dyDescent="0.2">
      <c r="A6" s="79"/>
      <c r="B6" s="78"/>
      <c r="C6" s="80" t="s">
        <v>18</v>
      </c>
      <c r="D6" s="80"/>
      <c r="E6" s="11"/>
      <c r="F6" s="9">
        <f>COUNTIFS($C$10:$C$54,"*федерал*",$D$10:$D$54,"*НПР*")</f>
        <v>0</v>
      </c>
      <c r="G6" s="9">
        <f>COUNTIFS($C$10:$C$54,"*федерал*",$D$10:$D$54,"*аспирант*")</f>
        <v>0</v>
      </c>
      <c r="H6" s="9">
        <f>COUNTIFS($C$10:$C$54,"*федерал*",$D$10:$D$54,"*студент*")</f>
        <v>0</v>
      </c>
    </row>
    <row r="7" spans="1:8" s="9" customFormat="1" ht="12.75" customHeight="1" x14ac:dyDescent="0.2">
      <c r="A7" s="79"/>
      <c r="B7" s="78"/>
      <c r="C7" s="80" t="s">
        <v>20</v>
      </c>
      <c r="D7" s="80"/>
      <c r="E7" s="11"/>
      <c r="F7" s="9">
        <f>COUNTIFS($C$10:$C$54,"*регион*",$D$10:$D$54,"*НПР*")</f>
        <v>0</v>
      </c>
      <c r="G7" s="9">
        <f>COUNTIFS($C$10:$C$54,"*регион*",$D$10:$D$54,"*аспирант*")</f>
        <v>0</v>
      </c>
      <c r="H7" s="9">
        <f>COUNTIFS($C$10:$C$54,"*регион*",$D$10:$D$54,"студент*")</f>
        <v>0</v>
      </c>
    </row>
    <row r="8" spans="1:8" s="9" customFormat="1" ht="12.75" customHeight="1" x14ac:dyDescent="0.2">
      <c r="A8" s="79"/>
      <c r="B8" s="78"/>
      <c r="C8" s="80" t="s">
        <v>288</v>
      </c>
      <c r="D8" s="80"/>
      <c r="E8" s="11"/>
      <c r="F8" s="9">
        <f>COUNTIFS($C$10:$C$54,"*ЧГУ*",$D$10:$D$54,"*НПР*")</f>
        <v>0</v>
      </c>
      <c r="G8" s="9">
        <f>COUNTIFS($C$10:$C$54,"*ЧГУ*",$D$10:$D$54,"*аспирант*")</f>
        <v>0</v>
      </c>
      <c r="H8" s="9">
        <f>COUNTIFS($C$10:$C$54,"*ЧГУ*",$D$10:$D$54,"*студент*")</f>
        <v>0</v>
      </c>
    </row>
    <row r="9" spans="1:8" s="13" customFormat="1" ht="40.9" customHeight="1" x14ac:dyDescent="0.2">
      <c r="A9" s="13" t="s">
        <v>21</v>
      </c>
      <c r="B9" s="13" t="s">
        <v>22</v>
      </c>
      <c r="C9" s="13" t="s">
        <v>23</v>
      </c>
      <c r="D9" s="13" t="s">
        <v>287</v>
      </c>
      <c r="E9" s="13" t="s">
        <v>24</v>
      </c>
      <c r="F9" s="13" t="s">
        <v>25</v>
      </c>
      <c r="G9" s="13" t="s">
        <v>26</v>
      </c>
      <c r="H9" s="13" t="s">
        <v>27</v>
      </c>
    </row>
    <row r="10" spans="1:8" s="14" customFormat="1" ht="51" x14ac:dyDescent="0.2">
      <c r="A10" s="14">
        <v>1</v>
      </c>
      <c r="B10" s="14" t="s">
        <v>344</v>
      </c>
      <c r="C10" s="14" t="s">
        <v>35</v>
      </c>
      <c r="D10" s="14" t="s">
        <v>280</v>
      </c>
      <c r="E10" s="14" t="s">
        <v>319</v>
      </c>
      <c r="F10" s="14" t="s">
        <v>252</v>
      </c>
      <c r="G10" s="15" t="s">
        <v>309</v>
      </c>
      <c r="H10" s="14" t="s">
        <v>307</v>
      </c>
    </row>
    <row r="11" spans="1:8" s="14" customFormat="1" ht="51" x14ac:dyDescent="0.2">
      <c r="A11" s="14">
        <f t="shared" ref="A11:A54" si="0">A10+1</f>
        <v>2</v>
      </c>
      <c r="B11" s="14" t="s">
        <v>348</v>
      </c>
      <c r="C11" s="14" t="s">
        <v>35</v>
      </c>
      <c r="D11" s="14" t="s">
        <v>280</v>
      </c>
      <c r="E11" s="14" t="s">
        <v>319</v>
      </c>
      <c r="F11" s="14" t="s">
        <v>30</v>
      </c>
      <c r="G11" s="15" t="s">
        <v>309</v>
      </c>
      <c r="H11" s="14" t="s">
        <v>307</v>
      </c>
    </row>
    <row r="12" spans="1:8" s="14" customFormat="1" ht="51" x14ac:dyDescent="0.2">
      <c r="A12" s="14">
        <f t="shared" si="0"/>
        <v>3</v>
      </c>
      <c r="B12" s="70" t="s">
        <v>348</v>
      </c>
      <c r="C12" s="70" t="s">
        <v>35</v>
      </c>
      <c r="D12" s="14" t="s">
        <v>280</v>
      </c>
      <c r="E12" s="14" t="s">
        <v>340</v>
      </c>
      <c r="F12" s="14" t="s">
        <v>40</v>
      </c>
      <c r="G12" s="15" t="s">
        <v>309</v>
      </c>
      <c r="H12" s="14" t="s">
        <v>307</v>
      </c>
    </row>
    <row r="13" spans="1:8" s="14" customFormat="1" ht="51" x14ac:dyDescent="0.2">
      <c r="A13" s="14">
        <v>4</v>
      </c>
      <c r="B13" s="70" t="s">
        <v>348</v>
      </c>
      <c r="C13" s="14" t="s">
        <v>35</v>
      </c>
      <c r="D13" s="14" t="s">
        <v>280</v>
      </c>
      <c r="E13" s="14" t="s">
        <v>341</v>
      </c>
      <c r="F13" s="14" t="s">
        <v>40</v>
      </c>
      <c r="G13" s="15" t="s">
        <v>309</v>
      </c>
      <c r="H13" s="14" t="s">
        <v>307</v>
      </c>
    </row>
    <row r="14" spans="1:8" s="14" customFormat="1" ht="51" customHeight="1" x14ac:dyDescent="0.2">
      <c r="A14" s="14">
        <v>5</v>
      </c>
      <c r="B14" s="14" t="s">
        <v>349</v>
      </c>
      <c r="C14" s="14" t="s">
        <v>35</v>
      </c>
      <c r="D14" s="14" t="s">
        <v>280</v>
      </c>
      <c r="E14" s="14" t="s">
        <v>342</v>
      </c>
      <c r="F14" s="14" t="s">
        <v>40</v>
      </c>
      <c r="G14" s="15" t="s">
        <v>309</v>
      </c>
      <c r="H14" s="14" t="s">
        <v>307</v>
      </c>
    </row>
    <row r="15" spans="1:8" s="14" customFormat="1" ht="43.5" customHeight="1" x14ac:dyDescent="0.2">
      <c r="G15" s="15"/>
    </row>
    <row r="16" spans="1:8" s="14" customFormat="1" ht="53.25" customHeight="1" x14ac:dyDescent="0.2">
      <c r="G16" s="15"/>
    </row>
    <row r="17" spans="1:8" s="14" customFormat="1" ht="53.25" customHeight="1" x14ac:dyDescent="0.2">
      <c r="G17" s="15"/>
    </row>
    <row r="18" spans="1:8" s="14" customFormat="1" ht="53.25" customHeight="1" x14ac:dyDescent="0.2">
      <c r="G18" s="15"/>
    </row>
    <row r="19" spans="1:8" s="14" customFormat="1" ht="53.25" customHeight="1" x14ac:dyDescent="0.2">
      <c r="A19" s="14">
        <f t="shared" si="0"/>
        <v>1</v>
      </c>
      <c r="G19" s="15"/>
    </row>
    <row r="20" spans="1:8" s="14" customFormat="1" x14ac:dyDescent="0.2">
      <c r="A20" s="14">
        <f t="shared" si="0"/>
        <v>2</v>
      </c>
      <c r="G20" s="16"/>
    </row>
    <row r="21" spans="1:8" s="14" customFormat="1" x14ac:dyDescent="0.2">
      <c r="A21" s="14">
        <f t="shared" si="0"/>
        <v>3</v>
      </c>
      <c r="G21" s="16"/>
    </row>
    <row r="22" spans="1:8" s="14" customFormat="1" x14ac:dyDescent="0.2">
      <c r="A22" s="14">
        <f t="shared" si="0"/>
        <v>4</v>
      </c>
      <c r="B22" s="16"/>
      <c r="G22" s="16"/>
      <c r="H22" s="16"/>
    </row>
    <row r="23" spans="1:8" s="14" customFormat="1" x14ac:dyDescent="0.2">
      <c r="A23" s="14">
        <f t="shared" si="0"/>
        <v>5</v>
      </c>
      <c r="B23" s="16"/>
      <c r="G23" s="16"/>
      <c r="H23" s="16"/>
    </row>
    <row r="24" spans="1:8" s="14" customFormat="1" x14ac:dyDescent="0.2">
      <c r="A24" s="14">
        <f t="shared" si="0"/>
        <v>6</v>
      </c>
      <c r="B24" s="16"/>
      <c r="G24" s="16"/>
      <c r="H24" s="16"/>
    </row>
    <row r="25" spans="1:8" s="14" customFormat="1" x14ac:dyDescent="0.2">
      <c r="A25" s="14">
        <f t="shared" si="0"/>
        <v>7</v>
      </c>
      <c r="B25" s="16"/>
      <c r="G25" s="16"/>
      <c r="H25" s="16"/>
    </row>
    <row r="26" spans="1:8" s="14" customFormat="1" x14ac:dyDescent="0.2">
      <c r="A26" s="14">
        <f t="shared" si="0"/>
        <v>8</v>
      </c>
      <c r="B26" s="16"/>
      <c r="G26" s="16"/>
      <c r="H26" s="16"/>
    </row>
    <row r="27" spans="1:8" s="14" customFormat="1" x14ac:dyDescent="0.2">
      <c r="A27" s="14">
        <f t="shared" si="0"/>
        <v>9</v>
      </c>
      <c r="B27" s="16"/>
      <c r="G27" s="16"/>
      <c r="H27" s="16"/>
    </row>
    <row r="28" spans="1:8" s="14" customFormat="1" x14ac:dyDescent="0.2">
      <c r="A28" s="14">
        <f t="shared" si="0"/>
        <v>10</v>
      </c>
      <c r="B28" s="16"/>
      <c r="G28" s="16"/>
      <c r="H28" s="16"/>
    </row>
    <row r="29" spans="1:8" s="14" customFormat="1" x14ac:dyDescent="0.2">
      <c r="A29" s="14">
        <f t="shared" si="0"/>
        <v>11</v>
      </c>
      <c r="B29" s="16"/>
      <c r="G29" s="16"/>
      <c r="H29" s="16"/>
    </row>
    <row r="30" spans="1:8" s="14" customFormat="1" x14ac:dyDescent="0.2">
      <c r="A30" s="14">
        <f t="shared" si="0"/>
        <v>12</v>
      </c>
      <c r="B30" s="16"/>
      <c r="G30" s="16"/>
      <c r="H30" s="16"/>
    </row>
    <row r="31" spans="1:8" s="14" customFormat="1" x14ac:dyDescent="0.2">
      <c r="A31" s="14">
        <f t="shared" si="0"/>
        <v>13</v>
      </c>
      <c r="B31" s="16"/>
      <c r="G31" s="16"/>
      <c r="H31" s="16"/>
    </row>
    <row r="32" spans="1:8" s="14" customFormat="1" x14ac:dyDescent="0.2">
      <c r="A32" s="14">
        <f t="shared" si="0"/>
        <v>14</v>
      </c>
      <c r="B32" s="16"/>
      <c r="G32" s="16"/>
      <c r="H32" s="16"/>
    </row>
    <row r="33" spans="1:8" s="14" customFormat="1" x14ac:dyDescent="0.2">
      <c r="A33" s="14">
        <f t="shared" si="0"/>
        <v>15</v>
      </c>
      <c r="B33" s="16"/>
      <c r="G33" s="16"/>
      <c r="H33" s="16"/>
    </row>
    <row r="34" spans="1:8" s="14" customFormat="1" x14ac:dyDescent="0.2">
      <c r="A34" s="14">
        <f t="shared" si="0"/>
        <v>16</v>
      </c>
      <c r="B34" s="16"/>
      <c r="G34" s="16"/>
      <c r="H34" s="16"/>
    </row>
    <row r="35" spans="1:8" s="14" customFormat="1" x14ac:dyDescent="0.2">
      <c r="A35" s="14">
        <f t="shared" si="0"/>
        <v>17</v>
      </c>
      <c r="B35" s="16"/>
      <c r="G35" s="16"/>
      <c r="H35" s="16"/>
    </row>
    <row r="36" spans="1:8" s="14" customFormat="1" x14ac:dyDescent="0.2">
      <c r="A36" s="14">
        <f t="shared" si="0"/>
        <v>18</v>
      </c>
      <c r="B36" s="16"/>
      <c r="G36" s="16"/>
      <c r="H36" s="16"/>
    </row>
    <row r="37" spans="1:8" s="14" customFormat="1" x14ac:dyDescent="0.2">
      <c r="A37" s="14">
        <f t="shared" si="0"/>
        <v>19</v>
      </c>
      <c r="G37" s="16"/>
      <c r="H37" s="16"/>
    </row>
    <row r="38" spans="1:8" s="14" customFormat="1" x14ac:dyDescent="0.2">
      <c r="A38" s="14">
        <f t="shared" si="0"/>
        <v>20</v>
      </c>
    </row>
    <row r="39" spans="1:8" s="14" customFormat="1" x14ac:dyDescent="0.2">
      <c r="A39" s="14">
        <f t="shared" si="0"/>
        <v>21</v>
      </c>
      <c r="B39" s="18"/>
    </row>
    <row r="40" spans="1:8" s="14" customFormat="1" x14ac:dyDescent="0.2">
      <c r="A40" s="14">
        <f t="shared" si="0"/>
        <v>22</v>
      </c>
      <c r="B40" s="18"/>
      <c r="G40" s="16"/>
    </row>
    <row r="41" spans="1:8" s="14" customFormat="1" x14ac:dyDescent="0.2">
      <c r="A41" s="14">
        <f t="shared" si="0"/>
        <v>23</v>
      </c>
      <c r="B41" s="18"/>
      <c r="G41" s="15"/>
    </row>
    <row r="42" spans="1:8" s="14" customFormat="1" x14ac:dyDescent="0.2">
      <c r="A42" s="14">
        <f t="shared" si="0"/>
        <v>24</v>
      </c>
      <c r="B42" s="16"/>
      <c r="G42" s="17"/>
    </row>
    <row r="43" spans="1:8" s="14" customFormat="1" x14ac:dyDescent="0.2">
      <c r="A43" s="14">
        <f t="shared" si="0"/>
        <v>25</v>
      </c>
      <c r="B43" s="16"/>
      <c r="G43" s="17"/>
    </row>
    <row r="44" spans="1:8" s="14" customFormat="1" x14ac:dyDescent="0.2">
      <c r="A44" s="14">
        <f t="shared" si="0"/>
        <v>26</v>
      </c>
      <c r="B44" s="16"/>
      <c r="G44" s="17"/>
    </row>
    <row r="45" spans="1:8" s="14" customFormat="1" x14ac:dyDescent="0.2">
      <c r="A45" s="14">
        <f t="shared" si="0"/>
        <v>27</v>
      </c>
      <c r="B45" s="16"/>
      <c r="G45" s="17"/>
    </row>
    <row r="46" spans="1:8" s="14" customFormat="1" x14ac:dyDescent="0.2">
      <c r="A46" s="14">
        <f t="shared" si="0"/>
        <v>28</v>
      </c>
      <c r="B46" s="16"/>
      <c r="G46" s="17"/>
    </row>
    <row r="47" spans="1:8" s="14" customFormat="1" x14ac:dyDescent="0.2">
      <c r="A47" s="14">
        <f t="shared" si="0"/>
        <v>29</v>
      </c>
      <c r="B47" s="16"/>
      <c r="G47" s="17"/>
    </row>
    <row r="48" spans="1:8" s="14" customFormat="1" x14ac:dyDescent="0.2">
      <c r="A48" s="14">
        <f t="shared" si="0"/>
        <v>30</v>
      </c>
      <c r="B48" s="16"/>
      <c r="G48" s="17"/>
    </row>
    <row r="49" spans="1:7" s="14" customFormat="1" x14ac:dyDescent="0.2">
      <c r="A49" s="14">
        <f t="shared" si="0"/>
        <v>31</v>
      </c>
      <c r="B49" s="16"/>
      <c r="G49" s="17"/>
    </row>
    <row r="50" spans="1:7" s="14" customFormat="1" x14ac:dyDescent="0.2">
      <c r="A50" s="14">
        <f t="shared" si="0"/>
        <v>32</v>
      </c>
      <c r="B50" s="16"/>
      <c r="G50" s="17"/>
    </row>
    <row r="51" spans="1:7" s="14" customFormat="1" x14ac:dyDescent="0.2">
      <c r="A51" s="14">
        <f t="shared" si="0"/>
        <v>33</v>
      </c>
      <c r="B51" s="16"/>
      <c r="G51" s="17"/>
    </row>
    <row r="52" spans="1:7" s="14" customFormat="1" x14ac:dyDescent="0.2">
      <c r="A52" s="14">
        <f t="shared" si="0"/>
        <v>34</v>
      </c>
      <c r="B52" s="16"/>
      <c r="G52" s="17"/>
    </row>
    <row r="53" spans="1:7" s="14" customFormat="1" x14ac:dyDescent="0.2">
      <c r="A53" s="14">
        <f t="shared" si="0"/>
        <v>35</v>
      </c>
      <c r="B53" s="16"/>
      <c r="G53" s="17"/>
    </row>
    <row r="54" spans="1:7" s="14" customFormat="1" x14ac:dyDescent="0.2">
      <c r="A54" s="14">
        <f t="shared" si="0"/>
        <v>36</v>
      </c>
      <c r="B54" s="16"/>
      <c r="G54" s="17"/>
    </row>
  </sheetData>
  <mergeCells count="11">
    <mergeCell ref="A1:A2"/>
    <mergeCell ref="B1:D2"/>
    <mergeCell ref="E1:H1"/>
    <mergeCell ref="A3:A8"/>
    <mergeCell ref="B3:D3"/>
    <mergeCell ref="B4:B8"/>
    <mergeCell ref="C4:D4"/>
    <mergeCell ref="C5:D5"/>
    <mergeCell ref="C6:D6"/>
    <mergeCell ref="C7:D7"/>
    <mergeCell ref="C8:D8"/>
  </mergeCells>
  <dataValidations count="3">
    <dataValidation type="list" allowBlank="1" showErrorMessage="1" sqref="D10:D54">
      <formula1>Участники</formula1>
      <formula2>0</formula2>
    </dataValidation>
    <dataValidation type="list" allowBlank="1" showErrorMessage="1" sqref="F10:F54">
      <formula1>Форма</formula1>
      <formula2>0</formula2>
    </dataValidation>
    <dataValidation type="list" allowBlank="1" showErrorMessage="1" sqref="C10:C54">
      <formula1>Уровень3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44" firstPageNumber="0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6"/>
  <sheetViews>
    <sheetView zoomScaleNormal="100" workbookViewId="0">
      <selection activeCell="B27" sqref="B27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7" width="12.710937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78" t="s">
        <v>8</v>
      </c>
      <c r="B1" s="78" t="s">
        <v>9</v>
      </c>
      <c r="C1" s="78"/>
      <c r="D1" s="78"/>
      <c r="E1" s="78" t="s">
        <v>10</v>
      </c>
      <c r="F1" s="78"/>
      <c r="G1" s="78"/>
    </row>
    <row r="2" spans="1:7" s="9" customFormat="1" x14ac:dyDescent="0.2">
      <c r="A2" s="78"/>
      <c r="B2" s="78"/>
      <c r="C2" s="78"/>
      <c r="D2" s="78"/>
      <c r="E2" s="9" t="s">
        <v>11</v>
      </c>
      <c r="F2" s="9" t="s">
        <v>12</v>
      </c>
      <c r="G2" s="9" t="s">
        <v>13</v>
      </c>
    </row>
    <row r="3" spans="1:7" s="10" customFormat="1" ht="35.1" customHeight="1" x14ac:dyDescent="0.2">
      <c r="A3" s="79" t="s">
        <v>44</v>
      </c>
      <c r="B3" s="79" t="s">
        <v>45</v>
      </c>
      <c r="C3" s="79"/>
      <c r="D3" s="79"/>
      <c r="E3" s="10">
        <f>SUM(E4:E7)</f>
        <v>0</v>
      </c>
      <c r="F3" s="10">
        <f>SUM(F4:F7)</f>
        <v>0</v>
      </c>
      <c r="G3" s="10">
        <f>SUM(G4:G7)</f>
        <v>0</v>
      </c>
    </row>
    <row r="4" spans="1:7" s="9" customFormat="1" ht="12.75" customHeight="1" x14ac:dyDescent="0.2">
      <c r="A4" s="79"/>
      <c r="B4" s="78" t="s">
        <v>15</v>
      </c>
      <c r="C4" s="78" t="s">
        <v>16</v>
      </c>
      <c r="D4" s="78"/>
      <c r="E4" s="9">
        <f>COUNTIFS($C$14:$C$57,"межд*",$D$14:$D$57,"НПР*")</f>
        <v>0</v>
      </c>
      <c r="F4" s="9">
        <f>COUNTIFS($C$14:$C$57,"межд*",$D$14:$D$57,"аспирант*")</f>
        <v>0</v>
      </c>
      <c r="G4" s="9">
        <f>COUNTIFS($C$14:$C$57,"межд*",$D$14:$D$57,"студент*")</f>
        <v>0</v>
      </c>
    </row>
    <row r="5" spans="1:7" s="9" customFormat="1" ht="12.75" customHeight="1" x14ac:dyDescent="0.2">
      <c r="A5" s="79"/>
      <c r="B5" s="78"/>
      <c r="C5" s="78" t="s">
        <v>18</v>
      </c>
      <c r="D5" s="78"/>
      <c r="E5" s="9">
        <f>COUNTIFS($C$14:$C$57,"федерал*",$D$14:$D$57,"НПР*")</f>
        <v>0</v>
      </c>
      <c r="F5" s="9">
        <f>COUNTIFS($C$14:$C$57,"федерал*",$D$14:$D$57,"аспирант*")</f>
        <v>0</v>
      </c>
      <c r="G5" s="9">
        <f>COUNTIFS($C$14:$C$57,"федерал*",$D$14:$D$57,"студент*")</f>
        <v>0</v>
      </c>
    </row>
    <row r="6" spans="1:7" s="9" customFormat="1" ht="12.75" customHeight="1" x14ac:dyDescent="0.2">
      <c r="A6" s="79"/>
      <c r="B6" s="78"/>
      <c r="C6" s="78" t="s">
        <v>20</v>
      </c>
      <c r="D6" s="78"/>
      <c r="E6" s="9">
        <f>COUNTIFS($C$14:$C$57,"регион*",$D$14:$D$57,"НПР*")</f>
        <v>0</v>
      </c>
      <c r="F6" s="9">
        <f>COUNTIFS($C$14:$C$57,"регион*",$D$14:$D$57,"аспирант*")</f>
        <v>0</v>
      </c>
      <c r="G6" s="9">
        <f>COUNTIFS($C$14:$C$57,"регион*",$D$14:$D$57,"студент*")</f>
        <v>0</v>
      </c>
    </row>
    <row r="7" spans="1:7" s="9" customFormat="1" ht="12.75" customHeight="1" x14ac:dyDescent="0.2">
      <c r="A7" s="79"/>
      <c r="B7" s="78"/>
      <c r="C7" s="78" t="s">
        <v>288</v>
      </c>
      <c r="D7" s="78"/>
      <c r="E7" s="9">
        <f>COUNTIFS($C$14:$C$57,"*ЧГУ*",$D$14:$D$57,"НПР*")</f>
        <v>0</v>
      </c>
      <c r="F7" s="9">
        <f>COUNTIFS($C$14:$C$57,"*ЧГУ*",$D$14:$D$57,"аспирант*")</f>
        <v>0</v>
      </c>
      <c r="G7" s="9">
        <f>COUNTIFS($C$14:$C$57,"*ЧГУ*",$D$14:$D$57,"студент*")</f>
        <v>0</v>
      </c>
    </row>
    <row r="8" spans="1:7" s="10" customFormat="1" ht="24.95" customHeight="1" x14ac:dyDescent="0.2">
      <c r="A8" s="79" t="s">
        <v>46</v>
      </c>
      <c r="B8" s="79" t="s">
        <v>47</v>
      </c>
      <c r="C8" s="79"/>
      <c r="D8" s="79"/>
      <c r="E8" s="10">
        <f>SUM(E9:E12)</f>
        <v>0</v>
      </c>
      <c r="F8" s="10">
        <f>SUM(F9:F12)</f>
        <v>0</v>
      </c>
      <c r="G8" s="10">
        <f>SUM(G9:G12)</f>
        <v>0</v>
      </c>
    </row>
    <row r="9" spans="1:7" s="9" customFormat="1" ht="12.75" customHeight="1" x14ac:dyDescent="0.2">
      <c r="A9" s="79"/>
      <c r="B9" s="78" t="s">
        <v>15</v>
      </c>
      <c r="C9" s="78" t="s">
        <v>16</v>
      </c>
      <c r="D9" s="78"/>
      <c r="E9" s="9">
        <f>SUMIFS($E$14:$E$57,$C$14:$C$57,"межд*",$D$14:$D$57,"НПР*")</f>
        <v>0</v>
      </c>
      <c r="F9" s="9">
        <f>SUMIFS($E$14:$E$57,$C$14:$C$57,"межд*",$D$14:$D$57,"аспирант*")</f>
        <v>0</v>
      </c>
      <c r="G9" s="9">
        <f>SUMIFS($E$14:$E$57,$C$14:$C$57,"межд*",$D$14:$D$57,"студент*")</f>
        <v>0</v>
      </c>
    </row>
    <row r="10" spans="1:7" s="9" customFormat="1" ht="12.75" customHeight="1" x14ac:dyDescent="0.2">
      <c r="A10" s="79"/>
      <c r="B10" s="78"/>
      <c r="C10" s="78" t="s">
        <v>18</v>
      </c>
      <c r="D10" s="78"/>
      <c r="E10" s="9">
        <f>SUMIFS($E$14:$E$57,$C$14:$C$57,"федерал*",$D$14:$D$57,"НПР*")</f>
        <v>0</v>
      </c>
      <c r="F10" s="9">
        <f>SUMIFS($E$14:$E$57,$C$14:$C$57,"федерал*",$D$14:$D$57,"аспирант*")</f>
        <v>0</v>
      </c>
      <c r="G10" s="9">
        <f>SUMIFS($E$14:$E$57,$C$14:$C$57,"федерал*",$D$14:$D$57,"студент*")</f>
        <v>0</v>
      </c>
    </row>
    <row r="11" spans="1:7" s="9" customFormat="1" ht="12.75" customHeight="1" x14ac:dyDescent="0.2">
      <c r="A11" s="79"/>
      <c r="B11" s="78"/>
      <c r="C11" s="78" t="s">
        <v>20</v>
      </c>
      <c r="D11" s="78"/>
      <c r="E11" s="9">
        <f>SUMIFS($E$14:$E$57,$C$14:$C$57,"регион*",$D$14:$D$57,"НПР*")</f>
        <v>0</v>
      </c>
      <c r="F11" s="9">
        <f>SUMIFS($E$14:$E$57,$C$14:$C$57,"регион*",$D$14:$D$57,"аспирант*")</f>
        <v>0</v>
      </c>
      <c r="G11" s="9">
        <f>SUMIFS($E$14:$E$57,$C$14:$C$57,"регион*",$D$14:$D$57,"студент*")</f>
        <v>0</v>
      </c>
    </row>
    <row r="12" spans="1:7" s="9" customFormat="1" ht="12.75" customHeight="1" x14ac:dyDescent="0.2">
      <c r="A12" s="79"/>
      <c r="B12" s="78"/>
      <c r="C12" s="78" t="s">
        <v>288</v>
      </c>
      <c r="D12" s="78"/>
      <c r="E12" s="9">
        <f>SUMIFS($E$14:$E$57,$C$14:$C$57,"*ЧГУ*",$D$14:$D$57,"НПР*")</f>
        <v>0</v>
      </c>
      <c r="F12" s="9">
        <f>SUMIFS($E$14:$E$57,$C$14:$C$57,"*ЧГУ*",$D$14:$D$57,"аспирант*")</f>
        <v>0</v>
      </c>
      <c r="G12" s="9">
        <f>SUMIFS($E$14:$E$57,$C$14:$C$57,"*ЧГУ*",$D$14:$D$57,"студент*")</f>
        <v>0</v>
      </c>
    </row>
    <row r="13" spans="1:7" s="9" customFormat="1" ht="25.5" x14ac:dyDescent="0.2">
      <c r="A13" s="9" t="s">
        <v>21</v>
      </c>
      <c r="B13" s="9" t="s">
        <v>48</v>
      </c>
      <c r="C13" s="9" t="s">
        <v>23</v>
      </c>
      <c r="D13" s="9" t="s">
        <v>287</v>
      </c>
      <c r="E13" s="9" t="s">
        <v>49</v>
      </c>
      <c r="F13" s="9" t="s">
        <v>50</v>
      </c>
      <c r="G13" s="9" t="s">
        <v>27</v>
      </c>
    </row>
    <row r="14" spans="1:7" x14ac:dyDescent="0.2">
      <c r="A14" s="8">
        <v>1</v>
      </c>
    </row>
    <row r="15" spans="1:7" x14ac:dyDescent="0.2">
      <c r="A15" s="8">
        <v>2</v>
      </c>
    </row>
    <row r="16" spans="1:7" x14ac:dyDescent="0.2">
      <c r="A16" s="8">
        <v>3</v>
      </c>
    </row>
    <row r="17" spans="1:1" x14ac:dyDescent="0.2">
      <c r="A17" s="8">
        <v>4</v>
      </c>
    </row>
    <row r="18" spans="1:1" x14ac:dyDescent="0.2">
      <c r="A18" s="8">
        <v>5</v>
      </c>
    </row>
    <row r="19" spans="1:1" x14ac:dyDescent="0.2">
      <c r="A19" s="8">
        <v>6</v>
      </c>
    </row>
    <row r="20" spans="1:1" x14ac:dyDescent="0.2">
      <c r="A20" s="8">
        <v>7</v>
      </c>
    </row>
    <row r="21" spans="1:1" x14ac:dyDescent="0.2">
      <c r="A21" s="8">
        <v>8</v>
      </c>
    </row>
    <row r="22" spans="1:1" x14ac:dyDescent="0.2">
      <c r="A22" s="8">
        <v>9</v>
      </c>
    </row>
    <row r="23" spans="1:1" x14ac:dyDescent="0.2">
      <c r="A23" s="8">
        <v>10</v>
      </c>
    </row>
    <row r="24" spans="1:1" x14ac:dyDescent="0.2">
      <c r="A24" s="8">
        <v>11</v>
      </c>
    </row>
    <row r="25" spans="1:1" x14ac:dyDescent="0.2">
      <c r="A25" s="8">
        <v>12</v>
      </c>
    </row>
    <row r="26" spans="1:1" x14ac:dyDescent="0.2">
      <c r="A26" s="8">
        <v>13</v>
      </c>
    </row>
    <row r="27" spans="1:1" x14ac:dyDescent="0.2">
      <c r="A27" s="8">
        <v>14</v>
      </c>
    </row>
    <row r="28" spans="1:1" x14ac:dyDescent="0.2">
      <c r="A28" s="8">
        <v>15</v>
      </c>
    </row>
    <row r="29" spans="1:1" x14ac:dyDescent="0.2">
      <c r="A29" s="8">
        <v>16</v>
      </c>
    </row>
    <row r="30" spans="1:1" x14ac:dyDescent="0.2">
      <c r="A30" s="8">
        <v>17</v>
      </c>
    </row>
    <row r="31" spans="1:1" x14ac:dyDescent="0.2">
      <c r="A31" s="8">
        <v>18</v>
      </c>
    </row>
    <row r="32" spans="1:1" x14ac:dyDescent="0.2">
      <c r="A32" s="8">
        <v>19</v>
      </c>
    </row>
    <row r="33" spans="1:1" x14ac:dyDescent="0.2">
      <c r="A33" s="8">
        <v>20</v>
      </c>
    </row>
    <row r="34" spans="1:1" x14ac:dyDescent="0.2">
      <c r="A34" s="8">
        <v>21</v>
      </c>
    </row>
    <row r="35" spans="1:1" x14ac:dyDescent="0.2">
      <c r="A35" s="8">
        <v>22</v>
      </c>
    </row>
    <row r="36" spans="1:1" x14ac:dyDescent="0.2">
      <c r="A36" s="8">
        <v>23</v>
      </c>
    </row>
    <row r="37" spans="1:1" x14ac:dyDescent="0.2">
      <c r="A37" s="8">
        <v>24</v>
      </c>
    </row>
    <row r="38" spans="1:1" x14ac:dyDescent="0.2">
      <c r="A38" s="8">
        <v>25</v>
      </c>
    </row>
    <row r="39" spans="1:1" x14ac:dyDescent="0.2">
      <c r="A39" s="8">
        <v>26</v>
      </c>
    </row>
    <row r="40" spans="1:1" x14ac:dyDescent="0.2">
      <c r="A40" s="8">
        <v>27</v>
      </c>
    </row>
    <row r="41" spans="1:1" x14ac:dyDescent="0.2">
      <c r="A41" s="8">
        <v>28</v>
      </c>
    </row>
    <row r="42" spans="1:1" x14ac:dyDescent="0.2">
      <c r="A42" s="8">
        <v>29</v>
      </c>
    </row>
    <row r="43" spans="1:1" x14ac:dyDescent="0.2">
      <c r="A43" s="8">
        <v>30</v>
      </c>
    </row>
    <row r="44" spans="1:1" x14ac:dyDescent="0.2">
      <c r="A44" s="8">
        <v>31</v>
      </c>
    </row>
    <row r="45" spans="1:1" x14ac:dyDescent="0.2">
      <c r="A45" s="8">
        <v>32</v>
      </c>
    </row>
    <row r="46" spans="1:1" x14ac:dyDescent="0.2">
      <c r="A46" s="8">
        <v>33</v>
      </c>
    </row>
    <row r="47" spans="1:1" x14ac:dyDescent="0.2">
      <c r="A47" s="8">
        <v>34</v>
      </c>
    </row>
    <row r="48" spans="1:1" x14ac:dyDescent="0.2">
      <c r="A48" s="8">
        <v>35</v>
      </c>
    </row>
    <row r="49" spans="1:1" x14ac:dyDescent="0.2">
      <c r="A49" s="8">
        <v>36</v>
      </c>
    </row>
    <row r="50" spans="1:1" x14ac:dyDescent="0.2">
      <c r="A50" s="8">
        <v>37</v>
      </c>
    </row>
    <row r="51" spans="1:1" x14ac:dyDescent="0.2">
      <c r="A51" s="8">
        <v>38</v>
      </c>
    </row>
    <row r="52" spans="1:1" x14ac:dyDescent="0.2">
      <c r="A52" s="8">
        <v>39</v>
      </c>
    </row>
    <row r="53" spans="1:1" x14ac:dyDescent="0.2">
      <c r="A53" s="8">
        <v>40</v>
      </c>
    </row>
    <row r="54" spans="1:1" x14ac:dyDescent="0.2">
      <c r="A54" s="8">
        <v>41</v>
      </c>
    </row>
    <row r="55" spans="1:1" x14ac:dyDescent="0.2">
      <c r="A55" s="8">
        <v>42</v>
      </c>
    </row>
    <row r="56" spans="1:1" x14ac:dyDescent="0.2">
      <c r="A56" s="8">
        <v>43</v>
      </c>
    </row>
  </sheetData>
  <mergeCells count="17">
    <mergeCell ref="A8:A12"/>
    <mergeCell ref="B8:D8"/>
    <mergeCell ref="B9:B12"/>
    <mergeCell ref="C9:D9"/>
    <mergeCell ref="C10:D10"/>
    <mergeCell ref="C11:D11"/>
    <mergeCell ref="C12:D12"/>
    <mergeCell ref="A1:A2"/>
    <mergeCell ref="B1:D2"/>
    <mergeCell ref="E1:G1"/>
    <mergeCell ref="A3:A7"/>
    <mergeCell ref="B3:D3"/>
    <mergeCell ref="B4:B7"/>
    <mergeCell ref="C4:D4"/>
    <mergeCell ref="C5:D5"/>
    <mergeCell ref="C6:D6"/>
    <mergeCell ref="C7:D7"/>
  </mergeCells>
  <dataValidations count="2">
    <dataValidation type="list" allowBlank="1" showErrorMessage="1" sqref="D14:D56">
      <formula1>Участники</formula1>
      <formula2>0</formula2>
    </dataValidation>
    <dataValidation type="list" allowBlank="1" showErrorMessage="1" sqref="C14:C56">
      <formula1>Уровень</formula1>
      <formula2>0</formula2>
    </dataValidation>
  </dataValidations>
  <printOptions gridLines="1"/>
  <pageMargins left="0.7" right="0.7" top="0.75" bottom="0.75" header="0.3" footer="0.3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0"/>
  <sheetViews>
    <sheetView zoomScaleNormal="100" workbookViewId="0">
      <selection activeCell="A30" sqref="A30:H30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8" width="10.7109375" style="8" bestFit="1" customWidth="1"/>
    <col min="9" max="257" width="9.140625" style="8" bestFit="1" customWidth="1"/>
    <col min="258" max="1025" width="9.140625" bestFit="1" customWidth="1"/>
  </cols>
  <sheetData>
    <row r="1" spans="1:8" s="9" customFormat="1" ht="60" customHeight="1" x14ac:dyDescent="0.2">
      <c r="A1" s="79" t="s">
        <v>51</v>
      </c>
      <c r="B1" s="79"/>
      <c r="C1" s="78" t="s">
        <v>52</v>
      </c>
      <c r="D1" s="78"/>
      <c r="E1" s="78" t="s">
        <v>53</v>
      </c>
      <c r="F1" s="78"/>
      <c r="G1" s="78" t="s">
        <v>54</v>
      </c>
      <c r="H1" s="78"/>
    </row>
    <row r="2" spans="1:8" s="9" customFormat="1" ht="25.5" customHeight="1" x14ac:dyDescent="0.2">
      <c r="A2" s="79"/>
      <c r="B2" s="79"/>
      <c r="C2" s="9" t="s">
        <v>55</v>
      </c>
      <c r="D2" s="9" t="s">
        <v>56</v>
      </c>
      <c r="E2" s="9" t="s">
        <v>55</v>
      </c>
      <c r="F2" s="9" t="s">
        <v>56</v>
      </c>
      <c r="G2" s="9" t="s">
        <v>55</v>
      </c>
      <c r="H2" s="9" t="s">
        <v>56</v>
      </c>
    </row>
    <row r="3" spans="1:8" s="10" customFormat="1" ht="12.75" customHeight="1" x14ac:dyDescent="0.2">
      <c r="A3" s="79" t="s">
        <v>57</v>
      </c>
      <c r="B3" s="79"/>
      <c r="C3" s="79"/>
      <c r="D3" s="79"/>
      <c r="E3" s="79"/>
      <c r="F3" s="79"/>
      <c r="G3" s="79"/>
      <c r="H3" s="79"/>
    </row>
    <row r="4" spans="1:8" x14ac:dyDescent="0.2">
      <c r="A4" s="9">
        <v>1</v>
      </c>
      <c r="B4" s="9" t="s">
        <v>58</v>
      </c>
      <c r="C4" s="19"/>
      <c r="D4" s="19"/>
      <c r="E4" s="19"/>
      <c r="F4" s="19"/>
      <c r="G4" s="19"/>
      <c r="H4" s="19"/>
    </row>
    <row r="5" spans="1:8" x14ac:dyDescent="0.2">
      <c r="A5" s="9">
        <v>2</v>
      </c>
      <c r="B5" s="9" t="s">
        <v>59</v>
      </c>
      <c r="C5" s="19"/>
      <c r="D5" s="19"/>
      <c r="E5" s="19"/>
      <c r="F5" s="19"/>
      <c r="G5" s="19"/>
      <c r="H5" s="19"/>
    </row>
    <row r="6" spans="1:8" x14ac:dyDescent="0.2">
      <c r="A6" s="9">
        <v>3</v>
      </c>
      <c r="B6" s="9" t="s">
        <v>60</v>
      </c>
      <c r="C6" s="19"/>
      <c r="D6" s="19"/>
      <c r="E6" s="19"/>
      <c r="F6" s="19"/>
      <c r="G6" s="19"/>
      <c r="H6" s="19"/>
    </row>
    <row r="7" spans="1:8" x14ac:dyDescent="0.2">
      <c r="A7" s="9">
        <v>4</v>
      </c>
      <c r="B7" s="9" t="s">
        <v>61</v>
      </c>
      <c r="C7" s="19"/>
      <c r="D7" s="19"/>
      <c r="E7" s="19"/>
      <c r="F7" s="19"/>
      <c r="G7" s="19"/>
      <c r="H7" s="19"/>
    </row>
    <row r="8" spans="1:8" x14ac:dyDescent="0.2">
      <c r="A8" s="9">
        <v>5</v>
      </c>
      <c r="B8" s="9" t="s">
        <v>62</v>
      </c>
      <c r="C8" s="19"/>
      <c r="D8" s="19"/>
      <c r="E8" s="19"/>
      <c r="F8" s="19"/>
      <c r="G8" s="19"/>
      <c r="H8" s="19"/>
    </row>
    <row r="9" spans="1:8" ht="25.5" x14ac:dyDescent="0.2">
      <c r="A9" s="9">
        <v>6</v>
      </c>
      <c r="B9" s="9" t="s">
        <v>63</v>
      </c>
      <c r="C9" s="19"/>
      <c r="D9" s="19"/>
      <c r="E9" s="19"/>
      <c r="F9" s="19"/>
      <c r="G9" s="19"/>
      <c r="H9" s="19"/>
    </row>
    <row r="10" spans="1:8" x14ac:dyDescent="0.2">
      <c r="A10" s="9">
        <v>7</v>
      </c>
      <c r="B10" s="9" t="s">
        <v>64</v>
      </c>
      <c r="C10" s="19"/>
      <c r="D10" s="19"/>
      <c r="E10" s="19"/>
      <c r="F10" s="19"/>
      <c r="G10" s="19"/>
      <c r="H10" s="19"/>
    </row>
    <row r="11" spans="1:8" ht="25.5" x14ac:dyDescent="0.2">
      <c r="A11" s="9">
        <v>8</v>
      </c>
      <c r="B11" s="9" t="s">
        <v>65</v>
      </c>
      <c r="C11" s="19"/>
      <c r="D11" s="19"/>
      <c r="E11" s="19"/>
      <c r="F11" s="19"/>
      <c r="G11" s="19"/>
      <c r="H11" s="19"/>
    </row>
    <row r="12" spans="1:8" s="10" customFormat="1" ht="12.75" customHeight="1" x14ac:dyDescent="0.2">
      <c r="A12" s="79" t="s">
        <v>12</v>
      </c>
      <c r="B12" s="79"/>
      <c r="C12" s="79"/>
      <c r="D12" s="79"/>
      <c r="E12" s="79"/>
      <c r="F12" s="79"/>
      <c r="G12" s="79"/>
      <c r="H12" s="79"/>
    </row>
    <row r="13" spans="1:8" x14ac:dyDescent="0.2">
      <c r="A13" s="9">
        <v>1</v>
      </c>
      <c r="B13" s="9" t="s">
        <v>58</v>
      </c>
      <c r="C13" s="19"/>
      <c r="D13" s="19"/>
      <c r="E13" s="19"/>
      <c r="F13" s="19"/>
      <c r="G13" s="19"/>
      <c r="H13" s="19"/>
    </row>
    <row r="14" spans="1:8" x14ac:dyDescent="0.2">
      <c r="A14" s="9">
        <v>2</v>
      </c>
      <c r="B14" s="9" t="s">
        <v>59</v>
      </c>
      <c r="C14" s="19"/>
      <c r="D14" s="19"/>
      <c r="E14" s="19"/>
      <c r="F14" s="19"/>
      <c r="G14" s="19"/>
      <c r="H14" s="19"/>
    </row>
    <row r="15" spans="1:8" x14ac:dyDescent="0.2">
      <c r="A15" s="9">
        <v>3</v>
      </c>
      <c r="B15" s="9" t="s">
        <v>60</v>
      </c>
      <c r="C15" s="19"/>
      <c r="D15" s="19"/>
      <c r="E15" s="19"/>
      <c r="F15" s="19"/>
      <c r="G15" s="19"/>
      <c r="H15" s="19"/>
    </row>
    <row r="16" spans="1:8" x14ac:dyDescent="0.2">
      <c r="A16" s="9">
        <v>4</v>
      </c>
      <c r="B16" s="9" t="s">
        <v>61</v>
      </c>
      <c r="C16" s="19"/>
      <c r="D16" s="19"/>
      <c r="E16" s="19"/>
      <c r="F16" s="19"/>
      <c r="G16" s="19"/>
      <c r="H16" s="19"/>
    </row>
    <row r="17" spans="1:8" x14ac:dyDescent="0.2">
      <c r="A17" s="9">
        <v>5</v>
      </c>
      <c r="B17" s="9" t="s">
        <v>62</v>
      </c>
      <c r="C17" s="19"/>
      <c r="D17" s="19"/>
      <c r="E17" s="19"/>
      <c r="F17" s="19"/>
      <c r="G17" s="19"/>
      <c r="H17" s="19"/>
    </row>
    <row r="18" spans="1:8" ht="25.5" x14ac:dyDescent="0.2">
      <c r="A18" s="9">
        <v>6</v>
      </c>
      <c r="B18" s="9" t="s">
        <v>63</v>
      </c>
      <c r="C18" s="19"/>
      <c r="D18" s="19"/>
      <c r="E18" s="19"/>
      <c r="F18" s="19"/>
      <c r="G18" s="19"/>
      <c r="H18" s="19"/>
    </row>
    <row r="19" spans="1:8" x14ac:dyDescent="0.2">
      <c r="A19" s="9">
        <v>7</v>
      </c>
      <c r="B19" s="9" t="s">
        <v>64</v>
      </c>
      <c r="C19" s="19"/>
      <c r="D19" s="19"/>
      <c r="E19" s="19"/>
      <c r="F19" s="19"/>
      <c r="G19" s="19"/>
      <c r="H19" s="19"/>
    </row>
    <row r="20" spans="1:8" ht="25.5" x14ac:dyDescent="0.2">
      <c r="A20" s="9">
        <v>8</v>
      </c>
      <c r="B20" s="9" t="s">
        <v>65</v>
      </c>
      <c r="C20" s="19"/>
      <c r="D20" s="19"/>
      <c r="E20" s="19"/>
      <c r="F20" s="19"/>
      <c r="G20" s="19"/>
      <c r="H20" s="19"/>
    </row>
    <row r="21" spans="1:8" s="10" customFormat="1" ht="12.75" customHeight="1" x14ac:dyDescent="0.2">
      <c r="A21" s="79" t="s">
        <v>13</v>
      </c>
      <c r="B21" s="79"/>
      <c r="C21" s="79"/>
      <c r="D21" s="79"/>
      <c r="E21" s="79"/>
      <c r="F21" s="79"/>
      <c r="G21" s="79"/>
      <c r="H21" s="79"/>
    </row>
    <row r="22" spans="1:8" x14ac:dyDescent="0.2">
      <c r="A22" s="9">
        <v>1</v>
      </c>
      <c r="B22" s="9" t="s">
        <v>58</v>
      </c>
      <c r="C22" s="19"/>
      <c r="D22" s="19"/>
      <c r="E22" s="19"/>
      <c r="F22" s="19"/>
      <c r="G22" s="19"/>
      <c r="H22" s="19"/>
    </row>
    <row r="23" spans="1:8" x14ac:dyDescent="0.2">
      <c r="A23" s="9">
        <v>2</v>
      </c>
      <c r="B23" s="9" t="s">
        <v>59</v>
      </c>
      <c r="C23" s="19"/>
      <c r="D23" s="19"/>
      <c r="E23" s="19"/>
      <c r="F23" s="19"/>
      <c r="G23" s="19"/>
      <c r="H23" s="19"/>
    </row>
    <row r="24" spans="1:8" x14ac:dyDescent="0.2">
      <c r="A24" s="9">
        <v>3</v>
      </c>
      <c r="B24" s="9" t="s">
        <v>60</v>
      </c>
      <c r="C24" s="19"/>
      <c r="D24" s="19"/>
      <c r="E24" s="19"/>
      <c r="F24" s="19"/>
      <c r="G24" s="19"/>
      <c r="H24" s="19"/>
    </row>
    <row r="25" spans="1:8" x14ac:dyDescent="0.2">
      <c r="A25" s="9">
        <v>4</v>
      </c>
      <c r="B25" s="9" t="s">
        <v>61</v>
      </c>
      <c r="C25" s="19"/>
      <c r="D25" s="19"/>
      <c r="E25" s="19"/>
      <c r="F25" s="19"/>
      <c r="G25" s="19"/>
      <c r="H25" s="19"/>
    </row>
    <row r="26" spans="1:8" x14ac:dyDescent="0.2">
      <c r="A26" s="9">
        <v>5</v>
      </c>
      <c r="B26" s="9" t="s">
        <v>62</v>
      </c>
      <c r="C26" s="19"/>
      <c r="D26" s="19"/>
      <c r="E26" s="19"/>
      <c r="F26" s="19"/>
      <c r="G26" s="19"/>
      <c r="H26" s="19"/>
    </row>
    <row r="27" spans="1:8" ht="25.5" x14ac:dyDescent="0.2">
      <c r="A27" s="9">
        <v>6</v>
      </c>
      <c r="B27" s="9" t="s">
        <v>63</v>
      </c>
      <c r="C27" s="19"/>
      <c r="D27" s="19"/>
      <c r="E27" s="19"/>
      <c r="F27" s="19"/>
      <c r="G27" s="19"/>
      <c r="H27" s="19"/>
    </row>
    <row r="28" spans="1:8" x14ac:dyDescent="0.2">
      <c r="A28" s="9">
        <v>7</v>
      </c>
      <c r="B28" s="9" t="s">
        <v>64</v>
      </c>
      <c r="C28" s="19"/>
      <c r="D28" s="19"/>
      <c r="E28" s="19"/>
      <c r="F28" s="19"/>
      <c r="G28" s="19"/>
      <c r="H28" s="19"/>
    </row>
    <row r="29" spans="1:8" ht="25.5" x14ac:dyDescent="0.2">
      <c r="A29" s="9">
        <v>8</v>
      </c>
      <c r="B29" s="9" t="s">
        <v>65</v>
      </c>
      <c r="C29" s="19"/>
      <c r="D29" s="19"/>
      <c r="E29" s="19"/>
      <c r="F29" s="19"/>
      <c r="G29" s="19"/>
      <c r="H29" s="19"/>
    </row>
    <row r="30" spans="1:8" ht="25.5" customHeight="1" x14ac:dyDescent="0.2">
      <c r="A30" s="82" t="s">
        <v>66</v>
      </c>
      <c r="B30" s="82"/>
      <c r="C30" s="82"/>
      <c r="D30" s="82"/>
      <c r="E30" s="82"/>
      <c r="F30" s="82"/>
      <c r="G30" s="82"/>
      <c r="H30" s="82"/>
    </row>
  </sheetData>
  <mergeCells count="8">
    <mergeCell ref="A12:H12"/>
    <mergeCell ref="A21:H21"/>
    <mergeCell ref="A30:H30"/>
    <mergeCell ref="A1:B2"/>
    <mergeCell ref="C1:D1"/>
    <mergeCell ref="E1:F1"/>
    <mergeCell ref="G1:H1"/>
    <mergeCell ref="A3:H3"/>
  </mergeCells>
  <dataValidations count="1">
    <dataValidation type="whole" operator="greaterThanOrEqual" allowBlank="1" showErrorMessage="1" sqref="C4:H11 C13:H20 C22:H29">
      <formula1>0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zoomScaleNormal="100" workbookViewId="0">
      <selection activeCell="D36" sqref="D36"/>
    </sheetView>
  </sheetViews>
  <sheetFormatPr defaultRowHeight="12.75" x14ac:dyDescent="0.2"/>
  <cols>
    <col min="1" max="1" width="4.7109375" style="8" bestFit="1" customWidth="1"/>
    <col min="2" max="2" width="20.5703125" style="8" bestFit="1" customWidth="1"/>
    <col min="3" max="3" width="15.5703125" style="8" bestFit="1" customWidth="1"/>
    <col min="4" max="10" width="12.7109375" style="8" bestFit="1" customWidth="1"/>
    <col min="11" max="257" width="9.140625" style="8" bestFit="1" customWidth="1"/>
    <col min="258" max="1025" width="9.140625" bestFit="1" customWidth="1"/>
  </cols>
  <sheetData>
    <row r="1" spans="1:10" s="10" customFormat="1" ht="12.75" customHeight="1" x14ac:dyDescent="0.2">
      <c r="A1" s="78" t="s">
        <v>8</v>
      </c>
      <c r="B1" s="78" t="s">
        <v>9</v>
      </c>
      <c r="C1" s="78"/>
      <c r="D1" s="78"/>
      <c r="E1" s="79" t="s">
        <v>67</v>
      </c>
      <c r="F1" s="79"/>
      <c r="G1" s="79"/>
      <c r="H1" s="79" t="s">
        <v>68</v>
      </c>
      <c r="I1" s="79"/>
      <c r="J1" s="79"/>
    </row>
    <row r="2" spans="1:10" s="9" customFormat="1" x14ac:dyDescent="0.2">
      <c r="A2" s="78"/>
      <c r="B2" s="78"/>
      <c r="C2" s="78"/>
      <c r="D2" s="78"/>
      <c r="E2" s="9" t="s">
        <v>11</v>
      </c>
      <c r="F2" s="9" t="s">
        <v>12</v>
      </c>
      <c r="G2" s="9" t="s">
        <v>13</v>
      </c>
      <c r="H2" s="9" t="s">
        <v>11</v>
      </c>
      <c r="I2" s="9" t="s">
        <v>12</v>
      </c>
      <c r="J2" s="9" t="s">
        <v>13</v>
      </c>
    </row>
    <row r="3" spans="1:10" s="10" customFormat="1" ht="35.1" customHeight="1" x14ac:dyDescent="0.2">
      <c r="A3" s="83">
        <v>4</v>
      </c>
      <c r="B3" s="79" t="s">
        <v>69</v>
      </c>
      <c r="C3" s="79"/>
      <c r="D3" s="79"/>
      <c r="E3" s="10">
        <f t="shared" ref="E3:J3" si="0">SUM(E4:E12)</f>
        <v>0</v>
      </c>
      <c r="F3" s="10">
        <f t="shared" si="0"/>
        <v>0</v>
      </c>
      <c r="G3" s="10">
        <f t="shared" si="0"/>
        <v>0</v>
      </c>
      <c r="H3" s="10">
        <f t="shared" si="0"/>
        <v>0</v>
      </c>
      <c r="I3" s="10">
        <f t="shared" si="0"/>
        <v>0</v>
      </c>
      <c r="J3" s="10">
        <f t="shared" si="0"/>
        <v>0</v>
      </c>
    </row>
    <row r="4" spans="1:10" s="9" customFormat="1" ht="12.75" customHeight="1" x14ac:dyDescent="0.2">
      <c r="A4" s="83"/>
      <c r="B4" s="78" t="s">
        <v>15</v>
      </c>
      <c r="C4" s="78" t="s">
        <v>70</v>
      </c>
      <c r="D4" s="78"/>
      <c r="E4" s="9">
        <f>COUNTIFS($C$16:$C$35,"заруб*",$D$16:$D$35,"НПР*",$G$16:$G$35,"*грант*")</f>
        <v>0</v>
      </c>
      <c r="F4" s="9">
        <f>COUNTIFS($C$16:$C$35,"заруб*",$D$16:$D$35,"аспирант*",$G$16:$G$35,"*грант*")</f>
        <v>0</v>
      </c>
      <c r="G4" s="9">
        <f>COUNTIFS($C$16:$C$35,"заруб*",$D$16:$D$35,"студент*",$G$16:$G$35,"*грант*")</f>
        <v>0</v>
      </c>
      <c r="H4" s="9">
        <f>COUNTIFS($C$16:$C$35,"заруб*",$D$16:$D$35,"НПР*",$G$16:$G$35,"*заявка*",$F$16:$F$35,"2016")</f>
        <v>0</v>
      </c>
      <c r="I4" s="9">
        <f>COUNTIFS($C$16:$C$35,"заруб*",$D$16:$D$35,"аспирант*",$G$16:$G$35,"*заявка*",$F$16:$F$35,"2016")</f>
        <v>0</v>
      </c>
      <c r="J4" s="9">
        <f>COUNTIFS($C$16:$C$35,"заруб*",$D$16:$D$35,"студент*",$G$16:$G$35,"*заявка*",$F$16:$F$35,"2016")</f>
        <v>0</v>
      </c>
    </row>
    <row r="5" spans="1:10" s="9" customFormat="1" ht="25.5" customHeight="1" x14ac:dyDescent="0.2">
      <c r="A5" s="83"/>
      <c r="B5" s="78"/>
      <c r="C5" s="78" t="s">
        <v>71</v>
      </c>
      <c r="D5" s="78"/>
      <c r="E5" s="9">
        <f>COUNTIFS($C$16:$C$35,"*задание*",$D$16:$D$35,"НПР*",$G$16:$G$35,"*грант*")</f>
        <v>0</v>
      </c>
      <c r="F5" s="9">
        <f>COUNTIFS($C$16:$C$35,"*задание*",$D$16:$D$35,"аспирант*",$G$16:$G$35,"*грант*")</f>
        <v>0</v>
      </c>
      <c r="G5" s="9">
        <f>COUNTIFS($C$16:$C$35,"*задание*",$D$16:$D$35,"студент*",$G$16:$G$35,"*грант*")</f>
        <v>0</v>
      </c>
      <c r="H5" s="9">
        <f>COUNTIFS($C$16:$C$35,"*задание*",$D$16:$D$35,"НПР*",$G$16:$G$35,"*заявка*",$F$16:$F$35,"2016")</f>
        <v>0</v>
      </c>
      <c r="I5" s="9">
        <f>COUNTIFS($C$16:$C$35,"*задание*",$D$16:$D$35,"аспирант*",$G$16:$G$35,"*заявка*",$F$16:$F$35,"2016")</f>
        <v>0</v>
      </c>
      <c r="J5" s="9">
        <f>COUNTIFS($C$16:$C$35,"*задание*",$D$16:$D$35,"студент*",$G$16:$G$35,"*заявка*",$F$16:$F$35,"2016")</f>
        <v>0</v>
      </c>
    </row>
    <row r="6" spans="1:10" s="9" customFormat="1" ht="25.5" customHeight="1" x14ac:dyDescent="0.2">
      <c r="A6" s="83"/>
      <c r="B6" s="78"/>
      <c r="C6" s="78" t="s">
        <v>72</v>
      </c>
      <c r="D6" s="78"/>
      <c r="E6" s="9">
        <f>COUNTIFS($C$16:$C$35,"Минобрнауки*",$D$16:$D$35,"НПР*",$G$16:$G$35,"*грант*")</f>
        <v>0</v>
      </c>
      <c r="F6" s="9">
        <f>COUNTIFS($C$16:$C$35,"Минобрнауки*",$D$16:$D$35,"аспирант*",$G$16:$G$35,"*грант*")</f>
        <v>0</v>
      </c>
      <c r="G6" s="9">
        <f>COUNTIFS($C$16:$C$35,"Минобрнауки*",$D$16:$D$35,"студент*",$G$16:$G$35,"*грант*")</f>
        <v>0</v>
      </c>
      <c r="H6" s="9">
        <f>COUNTIFS($C$16:$C$35,"Минобрнауки*",$D$16:$D$35,"НПР*",$G$16:$G$35,"*заявка*",$F$16:$F$35,"2016")</f>
        <v>0</v>
      </c>
      <c r="I6" s="9">
        <f>COUNTIFS($C$16:$C$35,"Минобрнауки*",$D$16:$D$35,"аспирант*",$G$16:$G$35,"*заявка*",$F$16:$F$35,"2016")</f>
        <v>0</v>
      </c>
      <c r="J6" s="9">
        <f>COUNTIFS($C$16:$C$35,"Минобрнауки*",$D$16:$D$35,"студент*",$G$16:$G$35,"*заявка*",$F$16:$F$35,"2016")</f>
        <v>0</v>
      </c>
    </row>
    <row r="7" spans="1:10" s="9" customFormat="1" ht="12.75" hidden="1" customHeight="1" x14ac:dyDescent="0.2">
      <c r="A7" s="83"/>
      <c r="B7" s="78"/>
      <c r="C7" s="78" t="s">
        <v>73</v>
      </c>
      <c r="D7" s="78"/>
      <c r="E7" s="9">
        <f>COUNTIFS($C$16:$C$35,"*РГНФ*",$D$16:$D$35,"НПР*",$G$16:$G$35,"*грант*")</f>
        <v>0</v>
      </c>
      <c r="F7" s="9">
        <f>COUNTIFS($C$16:$C$35,"*РГНФ*",$D$16:$D$35,"аспирант*",$G$16:$G$35,"*грант*")</f>
        <v>0</v>
      </c>
      <c r="G7" s="9">
        <f>COUNTIFS($C$16:$C$35,"*РГНФ*",$D$16:$D$35,"студент*",$G$16:$G$35,"*грант*")</f>
        <v>0</v>
      </c>
      <c r="H7" s="9">
        <f>COUNTIFS($C$16:$C$35,"*РГНФ*",$D$16:$D$35,"НПР*",$G$16:$G$35,"*заявка*",$F$16:$F$35,"2016")</f>
        <v>0</v>
      </c>
      <c r="I7" s="9">
        <f>COUNTIFS($C$16:$C$35,"*РГНФ*",$D$16:$D$35,"аспирант*",$G$16:$G$35,"*заявка*",$F$16:$F$35,"2016")</f>
        <v>0</v>
      </c>
      <c r="J7" s="9">
        <f>COUNTIFS($C$16:$C$35,"*РГНФ*",$D$16:$D$35,"студент*",$G$16:$G$35,"*заявка*",$F$16:$F$35,"2016")</f>
        <v>0</v>
      </c>
    </row>
    <row r="8" spans="1:10" s="9" customFormat="1" ht="12.75" customHeight="1" x14ac:dyDescent="0.2">
      <c r="A8" s="83"/>
      <c r="B8" s="78"/>
      <c r="C8" s="78" t="s">
        <v>74</v>
      </c>
      <c r="D8" s="78"/>
      <c r="E8" s="9">
        <f>COUNTIFS($C$16:$C$35,"*РФФИ*",$D$16:$D$35,"НПР*",$G$16:$G$35,"*грант*")</f>
        <v>0</v>
      </c>
      <c r="F8" s="9">
        <f>COUNTIFS($C$16:$C$35,"*РФФИ*",$D$16:$D$35,"аспирант*",$G$16:$G$35,"*грант*")</f>
        <v>0</v>
      </c>
      <c r="G8" s="9">
        <f>COUNTIFS($C$16:$C$35,"*РФФИ*",$D$16:$D$35,"студент*",$G$16:$G$35,"*грант*")</f>
        <v>0</v>
      </c>
      <c r="H8" s="9">
        <f>COUNTIFS($C$16:$C$35,"*РФФИ*",$D$16:$D$35,"НПР*",$G$16:$G$35,"*заявка*",$F$16:$F$35,"2016")</f>
        <v>0</v>
      </c>
      <c r="I8" s="9">
        <f>COUNTIFS($C$16:$C$35,"*РФФИ*",$D$16:$D$35,"аспирант*",$G$16:$G$35,"*заявка*",$F$16:$F$35,"2016")</f>
        <v>0</v>
      </c>
      <c r="J8" s="9">
        <f>COUNTIFS($C$16:$C$35,"*РФФИ*",$D$16:$D$35,"студент*",$G$16:$G$35,"*заявка*",$F$16:$F$35,"2016")</f>
        <v>0</v>
      </c>
    </row>
    <row r="9" spans="1:10" s="9" customFormat="1" ht="12.75" customHeight="1" x14ac:dyDescent="0.2">
      <c r="A9" s="83"/>
      <c r="B9" s="78"/>
      <c r="C9" s="78" t="s">
        <v>75</v>
      </c>
      <c r="D9" s="78"/>
      <c r="E9" s="9">
        <f>COUNTIFS($C$16:$C$35,"*РНФ*",$D$16:$D$35,"НПР*",$G$16:$G$35,"*грант*")</f>
        <v>0</v>
      </c>
      <c r="F9" s="9">
        <f>COUNTIFS($C$16:$C$35,"*РНФ*",$D$16:$D$35,"аспирант*",$G$16:$G$35,"*грант*")</f>
        <v>0</v>
      </c>
      <c r="G9" s="9">
        <f>COUNTIFS($C$16:$C$35,"*РНФ*",$D$16:$D$35,"студент*",$G$16:$G$35,"*грант*")</f>
        <v>0</v>
      </c>
      <c r="H9" s="9">
        <f>COUNTIFS($C$16:$C$35,"*РНФ*",$D$16:$D$35,"НПР*",$G$16:$G$35,"*заявка*",$F$16:$F$35,"2016")</f>
        <v>0</v>
      </c>
      <c r="I9" s="9">
        <f>COUNTIFS($C$16:$C$35,"*РНФ*",$D$16:$D$35,"аспирант*",$G$16:$G$35,"*заявка*",$F$16:$F$35,"2016")</f>
        <v>0</v>
      </c>
      <c r="J9" s="9">
        <f>COUNTIFS($C$16:$C$35,"*РНФ*",$D$16:$D$35,"студент*",$G$16:$G$35,"*заявка*",$F$16:$F$35,"2016")</f>
        <v>0</v>
      </c>
    </row>
    <row r="10" spans="1:10" s="9" customFormat="1" ht="12.75" customHeight="1" x14ac:dyDescent="0.2">
      <c r="A10" s="83"/>
      <c r="B10" s="78"/>
      <c r="C10" s="78" t="s">
        <v>286</v>
      </c>
      <c r="D10" s="78"/>
      <c r="E10" s="9">
        <f>COUNTIFS($C$16:$C$35,"регион*",$D$16:$D$35,"НПР*",$G$16:$G$35,"*грант*")</f>
        <v>0</v>
      </c>
      <c r="F10" s="9">
        <f>COUNTIFS($C$16:$C$35,"регион*",$D$16:$D$35,"аспирант*",$G$16:$G$35,"*грант*")</f>
        <v>0</v>
      </c>
      <c r="G10" s="9">
        <f>COUNTIFS($C$16:$C$35,"регион*",$D$16:$D$35,"студент*",$G$16:$G$35,"*грант*")</f>
        <v>0</v>
      </c>
      <c r="H10" s="9">
        <f>COUNTIFS($C$16:$C$35,"регион*",$D$16:$D$35,"НПР*",$G$16:$G$35,"*заявка*",$F$16:$F$35,"2016")</f>
        <v>0</v>
      </c>
      <c r="I10" s="9">
        <f>COUNTIFS($C$16:$C$35,"регион*",$D$16:$D$35,"аспирант*",$G$16:$G$35,"*заявка*",$F$16:$F$35,"2016")</f>
        <v>0</v>
      </c>
      <c r="J10" s="9">
        <f>COUNTIFS($C$16:$C$35,"регион*",$D$16:$D$35,"студент*",$G$16:$G$35,"*заявка*",$F$16:$F$35,"2016")</f>
        <v>0</v>
      </c>
    </row>
    <row r="11" spans="1:10" s="9" customFormat="1" ht="12.75" customHeight="1" x14ac:dyDescent="0.2">
      <c r="A11" s="83"/>
      <c r="B11" s="78"/>
      <c r="C11" s="78" t="s">
        <v>76</v>
      </c>
      <c r="D11" s="78"/>
      <c r="E11" s="9">
        <f>COUNTIFS($C$16:$C$35,"прочие*",$D$16:$D$35,"НПР*",$G$16:$G$35,"*грант*")</f>
        <v>0</v>
      </c>
      <c r="F11" s="9">
        <f>COUNTIFS($C$16:$C$35,"прочие*",$D$16:$D$35,"аспирант*",$G$16:$G$35,"*грант*")</f>
        <v>0</v>
      </c>
      <c r="G11" s="9">
        <f>COUNTIFS($C$16:$C$35,"прочие*",$D$16:$D$35,"студент*",$G$16:$G$35,"*грант*")</f>
        <v>0</v>
      </c>
      <c r="H11" s="9">
        <f>COUNTIFS($C$16:$C$35,"прочие*",$D$16:$D$35,"НПР*",$G$16:$G$35,"*заявка*",$F$16:$F$35,"2016")</f>
        <v>0</v>
      </c>
      <c r="I11" s="9">
        <f>COUNTIFS($C$16:$C$35,"прочие*",$D$16:$D$35,"аспирант*",$G$16:$G$35,"*заявка*",$F$16:$F$35,"2016")</f>
        <v>0</v>
      </c>
      <c r="J11" s="9">
        <f>COUNTIFS($C$16:$C$35,"прочие*",$D$16:$D$35,"студент*",$G$16:$G$35,"*заявка*",$F$16:$F$35,"2016")</f>
        <v>0</v>
      </c>
    </row>
    <row r="12" spans="1:10" s="9" customFormat="1" ht="12.75" hidden="1" customHeight="1" x14ac:dyDescent="0.2">
      <c r="A12" s="83"/>
      <c r="B12" s="78"/>
      <c r="C12" s="78" t="s">
        <v>77</v>
      </c>
      <c r="D12" s="78"/>
      <c r="E12" s="9">
        <f>COUNTIFS($C$16:$C$35,"*ЧГУ*",$D$16:$D$35,"НПР*",$G$16:$G$35,"*грант*")</f>
        <v>0</v>
      </c>
      <c r="F12" s="9">
        <f>COUNTIFS($C$16:$C$35,"*ЧГУ*",$D$16:$D$35,"аспирант*",$G$16:$G$35,"*грант*")</f>
        <v>0</v>
      </c>
      <c r="G12" s="9">
        <f>COUNTIFS($C$16:$C$35,"*ЧГУ*",$D$16:$D$35,"студент*",$G$16:$G$35,"*грант*")</f>
        <v>0</v>
      </c>
      <c r="H12" s="9">
        <f>COUNTIFS($C$16:$C$35,"*ЧГУ*",$D$16:$D$35,"НПР*",$G$16:$G$35,"*заявка*",$F$16:$F$35,"2016")</f>
        <v>0</v>
      </c>
      <c r="I12" s="9">
        <f>COUNTIFS($C$16:$C$35,"*ЧГУ*",$D$16:$D$35,"аспирант*",$G$16:$G$35,"*заявка*",$F$16:$F$35,"2016")</f>
        <v>0</v>
      </c>
      <c r="J12" s="9">
        <f>COUNTIFS($C$16:$C$35,"*ЧГУ*",$D$16:$D$35,"студент*",$G$16:$G$35,"*заявка*",$F$16:$F$35,"2016")</f>
        <v>0</v>
      </c>
    </row>
    <row r="13" spans="1:10" s="8" customFormat="1" ht="25.5" customHeight="1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spans="1:10" s="9" customFormat="1" ht="25.5" x14ac:dyDescent="0.2">
      <c r="A14" s="9" t="s">
        <v>21</v>
      </c>
      <c r="B14" s="9" t="s">
        <v>78</v>
      </c>
      <c r="C14" s="9" t="s">
        <v>23</v>
      </c>
      <c r="D14" s="9" t="s">
        <v>289</v>
      </c>
      <c r="E14" s="9" t="s">
        <v>79</v>
      </c>
      <c r="F14" s="9" t="s">
        <v>80</v>
      </c>
      <c r="G14" s="9" t="s">
        <v>81</v>
      </c>
      <c r="H14" s="9" t="s">
        <v>82</v>
      </c>
      <c r="I14" s="9" t="s">
        <v>83</v>
      </c>
      <c r="J14" s="9" t="s">
        <v>84</v>
      </c>
    </row>
    <row r="15" spans="1:10" s="10" customFormat="1" ht="12.75" customHeight="1" x14ac:dyDescent="0.2">
      <c r="A15" s="79" t="s">
        <v>85</v>
      </c>
      <c r="B15" s="79"/>
      <c r="C15" s="79"/>
      <c r="D15" s="79"/>
      <c r="E15" s="79"/>
      <c r="F15" s="79"/>
      <c r="G15" s="79"/>
      <c r="H15" s="79"/>
      <c r="I15" s="79"/>
      <c r="J15" s="79"/>
    </row>
    <row r="16" spans="1:10" s="8" customFormat="1" x14ac:dyDescent="0.2">
      <c r="H16" s="20"/>
      <c r="J16" s="21"/>
    </row>
    <row r="17" spans="1:10" s="8" customFormat="1" x14ac:dyDescent="0.2">
      <c r="B17" s="22"/>
      <c r="J17" s="21"/>
    </row>
    <row r="18" spans="1:10" s="8" customFormat="1" x14ac:dyDescent="0.2">
      <c r="J18" s="21"/>
    </row>
    <row r="19" spans="1:10" s="8" customFormat="1" x14ac:dyDescent="0.2">
      <c r="J19" s="21"/>
    </row>
    <row r="20" spans="1:10" s="8" customFormat="1" x14ac:dyDescent="0.2">
      <c r="J20" s="21"/>
    </row>
    <row r="21" spans="1:10" s="8" customFormat="1" x14ac:dyDescent="0.2">
      <c r="H21" s="20"/>
      <c r="J21" s="21"/>
    </row>
    <row r="22" spans="1:10" s="8" customFormat="1" x14ac:dyDescent="0.2">
      <c r="B22" s="23"/>
      <c r="J22" s="21"/>
    </row>
    <row r="23" spans="1:10" s="8" customFormat="1" x14ac:dyDescent="0.2">
      <c r="J23" s="21"/>
    </row>
    <row r="24" spans="1:10" s="8" customFormat="1" x14ac:dyDescent="0.2">
      <c r="J24" s="21"/>
    </row>
    <row r="25" spans="1:10" s="8" customFormat="1" x14ac:dyDescent="0.2">
      <c r="J25" s="21"/>
    </row>
    <row r="26" spans="1:10" s="10" customFormat="1" ht="12.75" customHeight="1" x14ac:dyDescent="0.2">
      <c r="A26" s="79"/>
      <c r="B26" s="79"/>
      <c r="C26" s="79"/>
      <c r="D26" s="79"/>
      <c r="E26" s="79"/>
      <c r="F26" s="79"/>
      <c r="G26" s="79"/>
      <c r="H26" s="79"/>
      <c r="I26" s="79"/>
      <c r="J26" s="79"/>
    </row>
    <row r="27" spans="1:10" s="8" customFormat="1" x14ac:dyDescent="0.2">
      <c r="J27" s="21"/>
    </row>
    <row r="28" spans="1:10" s="8" customFormat="1" x14ac:dyDescent="0.2">
      <c r="J28" s="21"/>
    </row>
    <row r="29" spans="1:10" s="8" customFormat="1" x14ac:dyDescent="0.2">
      <c r="J29" s="21"/>
    </row>
    <row r="30" spans="1:10" s="8" customFormat="1" x14ac:dyDescent="0.2">
      <c r="J30" s="21"/>
    </row>
    <row r="31" spans="1:10" s="8" customFormat="1" x14ac:dyDescent="0.2">
      <c r="J31" s="21"/>
    </row>
    <row r="32" spans="1:10" s="8" customFormat="1" x14ac:dyDescent="0.2">
      <c r="J32" s="21"/>
    </row>
    <row r="33" spans="10:10" s="8" customFormat="1" x14ac:dyDescent="0.2">
      <c r="J33" s="21"/>
    </row>
    <row r="34" spans="10:10" s="8" customFormat="1" x14ac:dyDescent="0.2">
      <c r="J34" s="21"/>
    </row>
  </sheetData>
  <mergeCells count="19">
    <mergeCell ref="A13:J13"/>
    <mergeCell ref="A15:J15"/>
    <mergeCell ref="A26:J26"/>
    <mergeCell ref="A1:A2"/>
    <mergeCell ref="B1:D2"/>
    <mergeCell ref="E1:G1"/>
    <mergeCell ref="H1:J1"/>
    <mergeCell ref="A3:A12"/>
    <mergeCell ref="B3:D3"/>
    <mergeCell ref="B4:B12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dataValidations count="4">
    <dataValidation type="list" allowBlank="1" showErrorMessage="1" sqref="C16:C25 C27:C34">
      <formula1>Уровень2</formula1>
      <formula2>0</formula2>
    </dataValidation>
    <dataValidation type="list" allowBlank="1" showErrorMessage="1" sqref="D16:D25 D27:D34">
      <formula1>Участники</formula1>
      <formula2>0</formula2>
    </dataValidation>
    <dataValidation type="list" allowBlank="1" showErrorMessage="1" sqref="G16:G25 G27:G34">
      <formula1>Статус</formula1>
      <formula2>0</formula2>
    </dataValidation>
    <dataValidation type="decimal" operator="greaterThanOrEqual" allowBlank="1" showErrorMessage="1" sqref="J16:J25 J27:J34">
      <formula1>0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zoomScaleNormal="100" workbookViewId="0">
      <selection activeCell="A9" sqref="A9:A13"/>
    </sheetView>
  </sheetViews>
  <sheetFormatPr defaultRowHeight="12.75" x14ac:dyDescent="0.2"/>
  <cols>
    <col min="1" max="1" width="4.7109375" style="8" bestFit="1" customWidth="1"/>
    <col min="2" max="2" width="42.7109375" style="8" customWidth="1"/>
    <col min="3" max="7" width="12.7109375" style="8" bestFit="1" customWidth="1"/>
    <col min="8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78" t="s">
        <v>8</v>
      </c>
      <c r="B1" s="78" t="s">
        <v>9</v>
      </c>
      <c r="C1" s="78"/>
      <c r="D1" s="78"/>
      <c r="E1" s="78" t="s">
        <v>10</v>
      </c>
      <c r="F1" s="78"/>
      <c r="G1" s="78"/>
    </row>
    <row r="2" spans="1:7" s="9" customFormat="1" x14ac:dyDescent="0.2">
      <c r="A2" s="78"/>
      <c r="B2" s="78"/>
      <c r="C2" s="78"/>
      <c r="D2" s="78"/>
      <c r="E2" s="9" t="s">
        <v>11</v>
      </c>
      <c r="F2" s="9" t="s">
        <v>12</v>
      </c>
      <c r="G2" s="9" t="s">
        <v>13</v>
      </c>
    </row>
    <row r="3" spans="1:7" s="10" customFormat="1" ht="50.1" customHeight="1" x14ac:dyDescent="0.2">
      <c r="A3" s="79">
        <v>5</v>
      </c>
      <c r="B3" s="79" t="s">
        <v>88</v>
      </c>
      <c r="C3" s="79"/>
      <c r="D3" s="79"/>
      <c r="E3" s="10">
        <f>SUM(E4:E7)</f>
        <v>0</v>
      </c>
      <c r="F3" s="10">
        <f>SUM(F4:F7)</f>
        <v>0</v>
      </c>
      <c r="G3" s="10">
        <f>SUM(G4:G7)</f>
        <v>0</v>
      </c>
    </row>
    <row r="4" spans="1:7" s="9" customFormat="1" ht="12.75" customHeight="1" x14ac:dyDescent="0.2">
      <c r="A4" s="79"/>
      <c r="B4" s="78" t="s">
        <v>15</v>
      </c>
      <c r="C4" s="78" t="s">
        <v>16</v>
      </c>
      <c r="D4" s="78"/>
      <c r="E4" s="9">
        <f>COUNTIFS($C$9:$C$60,"межд*",$D$9:$D$60,"НПР*")</f>
        <v>0</v>
      </c>
      <c r="F4" s="9">
        <f>COUNTIFS($C$9:$C$60,"межд*",$D$9:$D$60,"аспирант*")</f>
        <v>0</v>
      </c>
      <c r="G4" s="9">
        <f>COUNTIFS($C$9:$C$60,"межд*",$D$9:$D$60,"студент*")</f>
        <v>0</v>
      </c>
    </row>
    <row r="5" spans="1:7" s="9" customFormat="1" ht="12.75" customHeight="1" x14ac:dyDescent="0.2">
      <c r="A5" s="79"/>
      <c r="B5" s="78"/>
      <c r="C5" s="78" t="s">
        <v>18</v>
      </c>
      <c r="D5" s="78"/>
      <c r="E5" s="9">
        <f>COUNTIFS($C$9:$C$60,"федерал*",$D$9:$D$60,"НПР*")</f>
        <v>0</v>
      </c>
      <c r="F5" s="9">
        <f>COUNTIFS($C$9:$C$60,"федерал*",$D$9:$D$60,"аспирант*")</f>
        <v>0</v>
      </c>
      <c r="G5" s="9">
        <f>COUNTIFS($C$9:$C$60,"федерал*",$D$9:$D$60,"студент*")</f>
        <v>0</v>
      </c>
    </row>
    <row r="6" spans="1:7" s="9" customFormat="1" ht="12.75" customHeight="1" x14ac:dyDescent="0.2">
      <c r="A6" s="79"/>
      <c r="B6" s="78"/>
      <c r="C6" s="78" t="s">
        <v>20</v>
      </c>
      <c r="D6" s="78"/>
      <c r="E6" s="9">
        <f>COUNTIFS($C$9:$C$60,"регион*",$D$9:$D$60,"НПР*")</f>
        <v>0</v>
      </c>
      <c r="F6" s="9">
        <f>COUNTIFS($C$9:$C$60,"регион*",$D$9:$D$60,"аспирант*")</f>
        <v>0</v>
      </c>
      <c r="G6" s="9">
        <f>COUNTIFS($C$9:$C$60,"регион*",$D$9:$D$60,"студент*")</f>
        <v>0</v>
      </c>
    </row>
    <row r="7" spans="1:7" s="9" customFormat="1" ht="12.75" customHeight="1" x14ac:dyDescent="0.2">
      <c r="A7" s="79"/>
      <c r="B7" s="78"/>
      <c r="C7" s="78" t="s">
        <v>288</v>
      </c>
      <c r="D7" s="78"/>
      <c r="E7" s="9">
        <f>COUNTIFS($C$9:$C$60,"*ЧГУ*",$D$9:$D$60,"НПР*")</f>
        <v>0</v>
      </c>
      <c r="F7" s="9">
        <f>COUNTIFS($C$9:$C$60,"*ЧГУ*",$D$9:$D$60,"аспирант*")</f>
        <v>0</v>
      </c>
      <c r="G7" s="9">
        <f>COUNTIFS($C$9:$C$60,"*ЧГУ*",$D$9:$D$60,"студент*")</f>
        <v>0</v>
      </c>
    </row>
    <row r="8" spans="1:7" s="9" customFormat="1" ht="25.5" customHeight="1" x14ac:dyDescent="0.2">
      <c r="A8" s="9" t="s">
        <v>21</v>
      </c>
      <c r="B8" s="9" t="s">
        <v>89</v>
      </c>
      <c r="C8" s="9" t="s">
        <v>23</v>
      </c>
      <c r="D8" s="9" t="s">
        <v>287</v>
      </c>
      <c r="E8" s="78" t="s">
        <v>90</v>
      </c>
      <c r="F8" s="78"/>
      <c r="G8" s="78"/>
    </row>
    <row r="9" spans="1:7" ht="73.5" customHeight="1" x14ac:dyDescent="0.2">
      <c r="A9" s="41"/>
      <c r="B9" s="48"/>
      <c r="C9" s="45"/>
      <c r="D9" s="45"/>
      <c r="E9" s="84"/>
      <c r="F9" s="84"/>
      <c r="G9" s="84"/>
    </row>
    <row r="10" spans="1:7" ht="81" customHeight="1" x14ac:dyDescent="0.2">
      <c r="A10" s="46"/>
      <c r="B10" s="49"/>
      <c r="C10" s="47"/>
      <c r="D10" s="45"/>
      <c r="E10" s="84"/>
      <c r="F10" s="84"/>
      <c r="G10" s="84"/>
    </row>
    <row r="11" spans="1:7" ht="51.75" customHeight="1" x14ac:dyDescent="0.2">
      <c r="A11" s="41"/>
      <c r="B11" s="48"/>
      <c r="C11" s="45"/>
      <c r="D11" s="45"/>
      <c r="E11" s="84"/>
      <c r="F11" s="84"/>
      <c r="G11" s="84"/>
    </row>
    <row r="12" spans="1:7" ht="42" customHeight="1" x14ac:dyDescent="0.2">
      <c r="A12" s="40"/>
      <c r="B12" s="49"/>
      <c r="C12" s="47"/>
      <c r="D12" s="45"/>
      <c r="E12" s="84"/>
      <c r="F12" s="84"/>
      <c r="G12" s="84"/>
    </row>
    <row r="13" spans="1:7" ht="30.75" customHeight="1" x14ac:dyDescent="0.2">
      <c r="A13" s="41"/>
      <c r="B13" s="49"/>
      <c r="C13" s="45"/>
      <c r="D13" s="45"/>
      <c r="E13" s="84"/>
      <c r="F13" s="84"/>
      <c r="G13" s="84"/>
    </row>
    <row r="14" spans="1:7" ht="111.75" customHeight="1" x14ac:dyDescent="0.2">
      <c r="A14" s="41">
        <v>5</v>
      </c>
      <c r="B14" s="42"/>
      <c r="C14" s="41"/>
      <c r="D14" s="41"/>
      <c r="E14" s="85"/>
      <c r="F14" s="86"/>
      <c r="G14" s="87"/>
    </row>
    <row r="15" spans="1:7" ht="88.5" customHeight="1" x14ac:dyDescent="0.2">
      <c r="A15" s="41">
        <v>6</v>
      </c>
      <c r="B15" s="42"/>
      <c r="C15" s="41"/>
      <c r="D15" s="41"/>
      <c r="E15" s="85"/>
      <c r="F15" s="86"/>
      <c r="G15" s="87"/>
    </row>
    <row r="16" spans="1:7" ht="106.5" customHeight="1" x14ac:dyDescent="0.2">
      <c r="A16" s="41">
        <v>7</v>
      </c>
      <c r="B16" s="42"/>
      <c r="C16" s="41"/>
      <c r="D16" s="41"/>
      <c r="E16" s="84"/>
      <c r="F16" s="84"/>
      <c r="G16" s="84"/>
    </row>
    <row r="17" spans="1:7" ht="98.25" customHeight="1" x14ac:dyDescent="0.2">
      <c r="A17" s="41">
        <v>8</v>
      </c>
      <c r="B17" s="42"/>
      <c r="C17" s="41"/>
      <c r="D17" s="41"/>
      <c r="E17" s="84"/>
      <c r="F17" s="84"/>
      <c r="G17" s="84"/>
    </row>
    <row r="18" spans="1:7" ht="105" customHeight="1" x14ac:dyDescent="0.2">
      <c r="A18" s="8">
        <v>9</v>
      </c>
      <c r="B18" s="42"/>
      <c r="E18" s="88"/>
      <c r="F18" s="88"/>
      <c r="G18" s="88"/>
    </row>
    <row r="19" spans="1:7" ht="93.75" customHeight="1" x14ac:dyDescent="0.2">
      <c r="B19" s="42"/>
      <c r="E19" s="88"/>
      <c r="F19" s="88"/>
      <c r="G19" s="88"/>
    </row>
    <row r="20" spans="1:7" ht="12.75" customHeight="1" x14ac:dyDescent="0.2">
      <c r="E20" s="88"/>
      <c r="F20" s="88"/>
      <c r="G20" s="88"/>
    </row>
    <row r="21" spans="1:7" ht="12.75" customHeight="1" x14ac:dyDescent="0.2">
      <c r="E21" s="88"/>
      <c r="F21" s="88"/>
      <c r="G21" s="88"/>
    </row>
    <row r="22" spans="1:7" ht="12.75" customHeight="1" x14ac:dyDescent="0.2">
      <c r="E22" s="88"/>
      <c r="F22" s="88"/>
      <c r="G22" s="88"/>
    </row>
    <row r="23" spans="1:7" ht="12.75" customHeight="1" x14ac:dyDescent="0.2">
      <c r="E23" s="88"/>
      <c r="F23" s="88"/>
      <c r="G23" s="88"/>
    </row>
    <row r="24" spans="1:7" ht="12.75" customHeight="1" x14ac:dyDescent="0.2">
      <c r="E24" s="88"/>
      <c r="F24" s="88"/>
      <c r="G24" s="88"/>
    </row>
    <row r="25" spans="1:7" ht="12.75" customHeight="1" x14ac:dyDescent="0.2">
      <c r="E25" s="88"/>
      <c r="F25" s="88"/>
      <c r="G25" s="88"/>
    </row>
    <row r="26" spans="1:7" ht="12.75" customHeight="1" x14ac:dyDescent="0.2">
      <c r="E26" s="88"/>
      <c r="F26" s="88"/>
      <c r="G26" s="88"/>
    </row>
    <row r="27" spans="1:7" ht="12.75" customHeight="1" x14ac:dyDescent="0.2">
      <c r="E27" s="88"/>
      <c r="F27" s="88"/>
      <c r="G27" s="88"/>
    </row>
    <row r="28" spans="1:7" x14ac:dyDescent="0.2">
      <c r="E28" s="24"/>
      <c r="F28" s="25"/>
      <c r="G28" s="26"/>
    </row>
    <row r="29" spans="1:7" ht="12.75" customHeight="1" x14ac:dyDescent="0.2">
      <c r="E29" s="88"/>
      <c r="F29" s="88"/>
      <c r="G29" s="88"/>
    </row>
    <row r="30" spans="1:7" ht="12.75" customHeight="1" x14ac:dyDescent="0.2">
      <c r="E30" s="88"/>
      <c r="F30" s="88"/>
      <c r="G30" s="88"/>
    </row>
    <row r="31" spans="1:7" ht="12.75" customHeight="1" x14ac:dyDescent="0.2">
      <c r="E31" s="88"/>
      <c r="F31" s="88"/>
      <c r="G31" s="88"/>
    </row>
    <row r="32" spans="1:7" ht="12.75" customHeight="1" x14ac:dyDescent="0.2">
      <c r="E32" s="88"/>
      <c r="F32" s="88"/>
      <c r="G32" s="88"/>
    </row>
    <row r="33" spans="5:7" ht="12.75" customHeight="1" x14ac:dyDescent="0.2">
      <c r="E33" s="88"/>
      <c r="F33" s="88"/>
      <c r="G33" s="88"/>
    </row>
    <row r="34" spans="5:7" ht="12.75" customHeight="1" x14ac:dyDescent="0.2">
      <c r="E34" s="88"/>
      <c r="F34" s="88"/>
      <c r="G34" s="88"/>
    </row>
    <row r="35" spans="5:7" ht="12.75" customHeight="1" x14ac:dyDescent="0.2">
      <c r="E35" s="88"/>
      <c r="F35" s="88"/>
      <c r="G35" s="88"/>
    </row>
    <row r="36" spans="5:7" ht="12.75" customHeight="1" x14ac:dyDescent="0.2">
      <c r="E36" s="88"/>
      <c r="F36" s="88"/>
      <c r="G36" s="88"/>
    </row>
    <row r="37" spans="5:7" ht="12.75" customHeight="1" x14ac:dyDescent="0.2">
      <c r="E37" s="88"/>
      <c r="F37" s="88"/>
      <c r="G37" s="88"/>
    </row>
    <row r="38" spans="5:7" ht="12.75" customHeight="1" x14ac:dyDescent="0.2">
      <c r="E38" s="88"/>
      <c r="F38" s="88"/>
      <c r="G38" s="88"/>
    </row>
    <row r="39" spans="5:7" ht="12.75" customHeight="1" x14ac:dyDescent="0.2">
      <c r="E39" s="88"/>
      <c r="F39" s="88"/>
      <c r="G39" s="88"/>
    </row>
    <row r="40" spans="5:7" ht="12.75" customHeight="1" x14ac:dyDescent="0.2">
      <c r="E40" s="88"/>
      <c r="F40" s="88"/>
      <c r="G40" s="88"/>
    </row>
    <row r="41" spans="5:7" ht="12.75" customHeight="1" x14ac:dyDescent="0.2">
      <c r="E41" s="88"/>
      <c r="F41" s="88"/>
      <c r="G41" s="88"/>
    </row>
    <row r="42" spans="5:7" ht="12.75" customHeight="1" x14ac:dyDescent="0.2">
      <c r="E42" s="88"/>
      <c r="F42" s="88"/>
      <c r="G42" s="88"/>
    </row>
    <row r="43" spans="5:7" ht="12.75" customHeight="1" x14ac:dyDescent="0.2">
      <c r="E43" s="88"/>
      <c r="F43" s="88"/>
      <c r="G43" s="88"/>
    </row>
    <row r="44" spans="5:7" ht="12.75" customHeight="1" x14ac:dyDescent="0.2">
      <c r="E44" s="88"/>
      <c r="F44" s="88"/>
      <c r="G44" s="88"/>
    </row>
    <row r="45" spans="5:7" ht="12.75" customHeight="1" x14ac:dyDescent="0.2">
      <c r="E45" s="88"/>
      <c r="F45" s="88"/>
      <c r="G45" s="88"/>
    </row>
    <row r="46" spans="5:7" ht="12.75" customHeight="1" x14ac:dyDescent="0.2">
      <c r="E46" s="88"/>
      <c r="F46" s="88"/>
      <c r="G46" s="88"/>
    </row>
    <row r="47" spans="5:7" ht="12.75" customHeight="1" x14ac:dyDescent="0.2">
      <c r="E47" s="88"/>
      <c r="F47" s="88"/>
      <c r="G47" s="88"/>
    </row>
    <row r="48" spans="5:7" ht="12.75" customHeight="1" x14ac:dyDescent="0.2">
      <c r="E48" s="88"/>
      <c r="F48" s="88"/>
      <c r="G48" s="88"/>
    </row>
    <row r="49" spans="5:7" ht="12.75" customHeight="1" x14ac:dyDescent="0.2">
      <c r="E49" s="88"/>
      <c r="F49" s="88"/>
      <c r="G49" s="88"/>
    </row>
    <row r="50" spans="5:7" ht="12.75" customHeight="1" x14ac:dyDescent="0.2">
      <c r="E50" s="88"/>
      <c r="F50" s="88"/>
      <c r="G50" s="88"/>
    </row>
    <row r="51" spans="5:7" ht="12.75" customHeight="1" x14ac:dyDescent="0.2">
      <c r="E51" s="88"/>
      <c r="F51" s="88"/>
      <c r="G51" s="88"/>
    </row>
    <row r="52" spans="5:7" ht="12.75" customHeight="1" x14ac:dyDescent="0.2">
      <c r="E52" s="88"/>
      <c r="F52" s="88"/>
      <c r="G52" s="88"/>
    </row>
    <row r="53" spans="5:7" ht="12.75" customHeight="1" x14ac:dyDescent="0.2">
      <c r="E53" s="88"/>
      <c r="F53" s="88"/>
      <c r="G53" s="88"/>
    </row>
    <row r="54" spans="5:7" ht="12.75" customHeight="1" x14ac:dyDescent="0.2">
      <c r="E54" s="88"/>
      <c r="F54" s="88"/>
      <c r="G54" s="88"/>
    </row>
    <row r="55" spans="5:7" ht="12.75" customHeight="1" x14ac:dyDescent="0.2">
      <c r="E55" s="88"/>
      <c r="F55" s="88"/>
      <c r="G55" s="88"/>
    </row>
    <row r="56" spans="5:7" ht="12.75" customHeight="1" x14ac:dyDescent="0.2">
      <c r="E56" s="88"/>
      <c r="F56" s="88"/>
      <c r="G56" s="88"/>
    </row>
    <row r="57" spans="5:7" ht="12.75" customHeight="1" x14ac:dyDescent="0.2">
      <c r="E57" s="88"/>
      <c r="F57" s="88"/>
      <c r="G57" s="88"/>
    </row>
    <row r="58" spans="5:7" ht="12.75" customHeight="1" x14ac:dyDescent="0.2">
      <c r="E58" s="88"/>
      <c r="F58" s="88"/>
      <c r="G58" s="88"/>
    </row>
    <row r="59" spans="5:7" ht="12.75" customHeight="1" x14ac:dyDescent="0.2">
      <c r="E59" s="88"/>
      <c r="F59" s="88"/>
      <c r="G59" s="88"/>
    </row>
    <row r="60" spans="5:7" ht="12.75" customHeight="1" x14ac:dyDescent="0.2">
      <c r="E60" s="88"/>
      <c r="F60" s="88"/>
      <c r="G60" s="88"/>
    </row>
  </sheetData>
  <mergeCells count="62">
    <mergeCell ref="E59:G59"/>
    <mergeCell ref="E60:G60"/>
    <mergeCell ref="E54:G54"/>
    <mergeCell ref="E55:G55"/>
    <mergeCell ref="E56:G56"/>
    <mergeCell ref="E57:G57"/>
    <mergeCell ref="E58:G58"/>
    <mergeCell ref="E49:G49"/>
    <mergeCell ref="E50:G50"/>
    <mergeCell ref="E51:G51"/>
    <mergeCell ref="E52:G52"/>
    <mergeCell ref="E53:G53"/>
    <mergeCell ref="E44:G44"/>
    <mergeCell ref="E45:G45"/>
    <mergeCell ref="E46:G46"/>
    <mergeCell ref="E47:G47"/>
    <mergeCell ref="E48:G48"/>
    <mergeCell ref="E39:G39"/>
    <mergeCell ref="E40:G40"/>
    <mergeCell ref="E41:G41"/>
    <mergeCell ref="E42:G42"/>
    <mergeCell ref="E43:G43"/>
    <mergeCell ref="E34:G34"/>
    <mergeCell ref="E35:G35"/>
    <mergeCell ref="E36:G36"/>
    <mergeCell ref="E37:G37"/>
    <mergeCell ref="E38:G38"/>
    <mergeCell ref="E29:G29"/>
    <mergeCell ref="E30:G30"/>
    <mergeCell ref="E31:G31"/>
    <mergeCell ref="E32:G32"/>
    <mergeCell ref="E33:G33"/>
    <mergeCell ref="E23:G23"/>
    <mergeCell ref="E24:G24"/>
    <mergeCell ref="E25:G25"/>
    <mergeCell ref="E26:G26"/>
    <mergeCell ref="E27:G27"/>
    <mergeCell ref="E18:G18"/>
    <mergeCell ref="E19:G19"/>
    <mergeCell ref="E20:G20"/>
    <mergeCell ref="E21:G21"/>
    <mergeCell ref="E22:G22"/>
    <mergeCell ref="E13:G13"/>
    <mergeCell ref="E14:G14"/>
    <mergeCell ref="E15:G15"/>
    <mergeCell ref="E16:G16"/>
    <mergeCell ref="E17:G17"/>
    <mergeCell ref="E8:G8"/>
    <mergeCell ref="E9:G9"/>
    <mergeCell ref="E10:G10"/>
    <mergeCell ref="E11:G11"/>
    <mergeCell ref="E12:G12"/>
    <mergeCell ref="A1:A2"/>
    <mergeCell ref="B1:D2"/>
    <mergeCell ref="E1:G1"/>
    <mergeCell ref="A3:A7"/>
    <mergeCell ref="B3:D3"/>
    <mergeCell ref="B4:B7"/>
    <mergeCell ref="C4:D4"/>
    <mergeCell ref="C5:D5"/>
    <mergeCell ref="C6:D6"/>
    <mergeCell ref="C7:D7"/>
  </mergeCells>
  <dataValidations count="2">
    <dataValidation type="list" allowBlank="1" showErrorMessage="1" sqref="C9:C60">
      <formula1>Уровень</formula1>
      <formula2>0</formula2>
    </dataValidation>
    <dataValidation type="list" allowBlank="1" showErrorMessage="1" sqref="D9:D60">
      <formula1>Участники</formula1>
      <formula2>0</formula2>
    </dataValidation>
  </dataValidations>
  <printOptions gridLines="1"/>
  <pageMargins left="0.98425196850393704" right="0.59055118110236227" top="0.59055118110236227" bottom="0.59055118110236227" header="0.51181102362204722" footer="0.51181102362204722"/>
  <pageSetup paperSize="9" scale="98" firstPageNumber="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zoomScaleNormal="100" workbookViewId="0">
      <selection activeCell="E12" sqref="E12"/>
    </sheetView>
  </sheetViews>
  <sheetFormatPr defaultRowHeight="12.75" x14ac:dyDescent="0.2"/>
  <cols>
    <col min="1" max="1" width="4.7109375" style="8" bestFit="1" customWidth="1"/>
    <col min="2" max="2" width="30.5703125" style="8" bestFit="1" customWidth="1"/>
    <col min="3" max="3" width="12.7109375" style="8" bestFit="1" customWidth="1"/>
    <col min="4" max="5" width="20.5703125" style="8" bestFit="1" customWidth="1"/>
    <col min="6" max="6" width="15.5703125" style="8" bestFit="1" customWidth="1"/>
    <col min="7" max="8" width="12.7109375" style="8" bestFit="1" customWidth="1"/>
    <col min="9" max="257" width="9.140625" style="8" bestFit="1" customWidth="1"/>
    <col min="258" max="1025" width="9.140625" bestFit="1" customWidth="1"/>
  </cols>
  <sheetData>
    <row r="1" spans="1:8" s="9" customFormat="1" ht="12.75" customHeight="1" x14ac:dyDescent="0.2">
      <c r="A1" s="78" t="s">
        <v>8</v>
      </c>
      <c r="B1" s="78" t="s">
        <v>9</v>
      </c>
      <c r="C1" s="78"/>
      <c r="D1" s="78"/>
      <c r="E1" s="78" t="s">
        <v>10</v>
      </c>
      <c r="F1" s="78"/>
      <c r="G1" s="78"/>
      <c r="H1" s="78"/>
    </row>
    <row r="2" spans="1:8" s="9" customFormat="1" ht="25.5" x14ac:dyDescent="0.2">
      <c r="A2" s="78"/>
      <c r="B2" s="78"/>
      <c r="C2" s="78"/>
      <c r="D2" s="78"/>
      <c r="E2" s="9" t="s">
        <v>91</v>
      </c>
      <c r="F2" s="9" t="s">
        <v>92</v>
      </c>
      <c r="G2" s="9" t="s">
        <v>93</v>
      </c>
      <c r="H2" s="9" t="s">
        <v>94</v>
      </c>
    </row>
    <row r="3" spans="1:8" s="10" customFormat="1" ht="50.1" customHeight="1" x14ac:dyDescent="0.2">
      <c r="A3" s="79">
        <v>6</v>
      </c>
      <c r="B3" s="79" t="s">
        <v>290</v>
      </c>
      <c r="C3" s="79"/>
      <c r="D3" s="79"/>
      <c r="E3" s="10">
        <f>E4+E6+E7</f>
        <v>0</v>
      </c>
      <c r="F3" s="10">
        <f>F4+F6+F7</f>
        <v>0</v>
      </c>
      <c r="G3" s="10">
        <f>G4+G6+G7</f>
        <v>0</v>
      </c>
      <c r="H3" s="10">
        <f>H4+H6+H7</f>
        <v>1</v>
      </c>
    </row>
    <row r="4" spans="1:8" s="9" customFormat="1" ht="12.75" customHeight="1" x14ac:dyDescent="0.2">
      <c r="A4" s="79"/>
      <c r="B4" s="78" t="s">
        <v>95</v>
      </c>
      <c r="C4" s="80" t="s">
        <v>96</v>
      </c>
      <c r="D4" s="80"/>
      <c r="E4" s="9">
        <f>COUNTIFS($C$10:$C$35,"учебник",$D$10:$D$35,"*зарубеж*")</f>
        <v>0</v>
      </c>
      <c r="F4" s="9">
        <f>COUNTIFS($C$10:$C$35,"учебное*",$D$10:$D$35,"*зарубеж*")</f>
        <v>0</v>
      </c>
      <c r="G4" s="9">
        <f t="shared" ref="G4:G7" si="0">SUM(E4:F4)-COUNTIFS($F$10:$F$35,"без рец*")</f>
        <v>0</v>
      </c>
      <c r="H4" s="9">
        <f>COUNTIFS($C$10:$C$35,"моно*",$D$10:$D$35,"*зарубеж*")</f>
        <v>0</v>
      </c>
    </row>
    <row r="5" spans="1:8" s="9" customFormat="1" ht="12.75" customHeight="1" x14ac:dyDescent="0.2">
      <c r="A5" s="79"/>
      <c r="B5" s="78"/>
      <c r="C5" s="81" t="s">
        <v>97</v>
      </c>
      <c r="D5" s="81"/>
      <c r="E5" s="9">
        <f>COUNTIFS($C$10:$C$35,"учебник",$D$10:$D$35,"*на иностран*")</f>
        <v>0</v>
      </c>
      <c r="F5" s="9">
        <f>COUNTIFS($C$10:$C$35,"учебное*",$D$10:$D$35,"*на иностран*")</f>
        <v>0</v>
      </c>
      <c r="G5" s="9">
        <f t="shared" si="0"/>
        <v>0</v>
      </c>
      <c r="H5" s="9">
        <f>COUNTIFS($C$10:$C$35,"моно*",$D$10:$D$35,"*на иностран*")</f>
        <v>0</v>
      </c>
    </row>
    <row r="6" spans="1:8" s="9" customFormat="1" ht="12.75" customHeight="1" x14ac:dyDescent="0.2">
      <c r="A6" s="79"/>
      <c r="B6" s="78"/>
      <c r="C6" s="80" t="s">
        <v>98</v>
      </c>
      <c r="D6" s="80"/>
      <c r="E6" s="9">
        <f>COUNTIFS($C$10:$C$35,"учебник",$D$10:$D$35,"российс*")</f>
        <v>0</v>
      </c>
      <c r="F6" s="9">
        <f>COUNTIFS($C$10:$C$35,"учебное*",$D$10:$D$35,"российс*")</f>
        <v>0</v>
      </c>
      <c r="G6" s="9">
        <f t="shared" si="0"/>
        <v>0</v>
      </c>
      <c r="H6" s="9">
        <f>COUNTIFS($C$10:$C$35,"моно*",$D$10:$D$35,"российс*")</f>
        <v>1</v>
      </c>
    </row>
    <row r="7" spans="1:8" s="9" customFormat="1" ht="12.75" hidden="1" customHeight="1" x14ac:dyDescent="0.2">
      <c r="A7" s="79"/>
      <c r="B7" s="78"/>
      <c r="C7" s="80" t="s">
        <v>99</v>
      </c>
      <c r="D7" s="80"/>
      <c r="E7" s="9">
        <f>COUNTIFS($C$10:$C$35,"учебник",$D$10:$D$35,"*ЧГУ*")</f>
        <v>0</v>
      </c>
      <c r="F7" s="9">
        <f>COUNTIFS($C$10:$C$35,"учебное*",$D$10:$D$35,"*ЧГУ*")</f>
        <v>0</v>
      </c>
      <c r="G7" s="9">
        <f t="shared" si="0"/>
        <v>0</v>
      </c>
      <c r="H7" s="9">
        <f>COUNTIFS($C$10:$C$35,"моно*",$D$10:$D$35,"*ЧГУ*")</f>
        <v>0</v>
      </c>
    </row>
    <row r="8" spans="1:8" ht="25.5" customHeight="1" x14ac:dyDescent="0.2">
      <c r="A8" s="89" t="s">
        <v>291</v>
      </c>
      <c r="B8" s="89"/>
      <c r="C8" s="89"/>
      <c r="D8" s="89"/>
      <c r="E8" s="89"/>
      <c r="F8" s="89"/>
      <c r="G8" s="89"/>
      <c r="H8" s="89"/>
    </row>
    <row r="9" spans="1:8" s="9" customFormat="1" ht="25.5" x14ac:dyDescent="0.2">
      <c r="A9" s="9" t="s">
        <v>21</v>
      </c>
      <c r="B9" s="9" t="s">
        <v>100</v>
      </c>
      <c r="C9" s="9" t="s">
        <v>101</v>
      </c>
      <c r="D9" s="9" t="s">
        <v>102</v>
      </c>
      <c r="E9" s="9" t="s">
        <v>103</v>
      </c>
      <c r="F9" s="9" t="s">
        <v>302</v>
      </c>
      <c r="G9" s="9" t="s">
        <v>105</v>
      </c>
      <c r="H9" s="9" t="s">
        <v>106</v>
      </c>
    </row>
    <row r="10" spans="1:8" ht="34.5" customHeight="1" x14ac:dyDescent="0.2">
      <c r="A10" s="8">
        <v>1</v>
      </c>
      <c r="B10" s="8" t="s">
        <v>310</v>
      </c>
      <c r="C10" s="8" t="s">
        <v>94</v>
      </c>
      <c r="D10" s="8" t="s">
        <v>256</v>
      </c>
      <c r="E10" s="61" t="s">
        <v>318</v>
      </c>
      <c r="F10" s="8" t="s">
        <v>303</v>
      </c>
      <c r="G10" s="8">
        <v>9.83</v>
      </c>
    </row>
    <row r="13" spans="1:8" x14ac:dyDescent="0.2">
      <c r="A13" s="8">
        <v>10</v>
      </c>
    </row>
    <row r="14" spans="1:8" x14ac:dyDescent="0.2">
      <c r="A14" s="8">
        <v>11</v>
      </c>
    </row>
    <row r="15" spans="1:8" x14ac:dyDescent="0.2">
      <c r="A15" s="8">
        <v>14</v>
      </c>
    </row>
    <row r="16" spans="1:8" x14ac:dyDescent="0.2">
      <c r="A16" s="8">
        <v>15</v>
      </c>
    </row>
    <row r="17" spans="1:1" x14ac:dyDescent="0.2">
      <c r="A17" s="8">
        <v>16</v>
      </c>
    </row>
    <row r="18" spans="1:1" x14ac:dyDescent="0.2">
      <c r="A18" s="8">
        <v>17</v>
      </c>
    </row>
    <row r="19" spans="1:1" x14ac:dyDescent="0.2">
      <c r="A19" s="8">
        <v>18</v>
      </c>
    </row>
    <row r="20" spans="1:1" x14ac:dyDescent="0.2">
      <c r="A20" s="8">
        <v>19</v>
      </c>
    </row>
    <row r="21" spans="1:1" x14ac:dyDescent="0.2">
      <c r="A21" s="8">
        <v>20</v>
      </c>
    </row>
    <row r="22" spans="1:1" x14ac:dyDescent="0.2">
      <c r="A22" s="8">
        <v>21</v>
      </c>
    </row>
    <row r="23" spans="1:1" x14ac:dyDescent="0.2">
      <c r="A23" s="8">
        <v>22</v>
      </c>
    </row>
    <row r="24" spans="1:1" x14ac:dyDescent="0.2">
      <c r="A24" s="8">
        <v>23</v>
      </c>
    </row>
    <row r="25" spans="1:1" x14ac:dyDescent="0.2">
      <c r="A25" s="8">
        <v>24</v>
      </c>
    </row>
    <row r="26" spans="1:1" x14ac:dyDescent="0.2">
      <c r="A26" s="8">
        <v>25</v>
      </c>
    </row>
    <row r="27" spans="1:1" x14ac:dyDescent="0.2">
      <c r="A27" s="8">
        <v>26</v>
      </c>
    </row>
    <row r="28" spans="1:1" x14ac:dyDescent="0.2">
      <c r="A28" s="8">
        <v>27</v>
      </c>
    </row>
    <row r="29" spans="1:1" x14ac:dyDescent="0.2">
      <c r="A29" s="8">
        <v>28</v>
      </c>
    </row>
    <row r="30" spans="1:1" x14ac:dyDescent="0.2">
      <c r="A30" s="8">
        <v>29</v>
      </c>
    </row>
    <row r="31" spans="1:1" x14ac:dyDescent="0.2">
      <c r="A31" s="8">
        <v>30</v>
      </c>
    </row>
    <row r="32" spans="1:1" x14ac:dyDescent="0.2">
      <c r="A32" s="8">
        <v>31</v>
      </c>
    </row>
    <row r="33" spans="1:1" x14ac:dyDescent="0.2">
      <c r="A33" s="8">
        <v>32</v>
      </c>
    </row>
    <row r="34" spans="1:1" x14ac:dyDescent="0.2">
      <c r="A34" s="8">
        <v>33</v>
      </c>
    </row>
  </sheetData>
  <mergeCells count="11">
    <mergeCell ref="A8:H8"/>
    <mergeCell ref="A1:A2"/>
    <mergeCell ref="B1:D2"/>
    <mergeCell ref="E1:H1"/>
    <mergeCell ref="A3:A7"/>
    <mergeCell ref="B3:D3"/>
    <mergeCell ref="B4:B7"/>
    <mergeCell ref="C4:D4"/>
    <mergeCell ref="C5:D5"/>
    <mergeCell ref="C6:D6"/>
    <mergeCell ref="C7:D7"/>
  </mergeCells>
  <dataValidations count="5">
    <dataValidation type="whole" operator="greaterThanOrEqual" allowBlank="1" showErrorMessage="1" sqref="H10:H34">
      <formula1>0</formula1>
      <formula2>0</formula2>
    </dataValidation>
    <dataValidation type="decimal" operator="greaterThanOrEqual" allowBlank="1" showErrorMessage="1" sqref="G10:G34">
      <formula1>0</formula1>
      <formula2>0</formula2>
    </dataValidation>
    <dataValidation type="list" allowBlank="1" showErrorMessage="1" sqref="C10:C34">
      <formula1>ВидИзд</formula1>
      <formula2>0</formula2>
    </dataValidation>
    <dataValidation type="list" allowBlank="1" showErrorMessage="1" sqref="D10:D34">
      <formula1>Издатель</formula1>
      <formula2>0</formula2>
    </dataValidation>
    <dataValidation type="list" allowBlank="1" showErrorMessage="1" sqref="F10:F34">
      <formula1>Рецензия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firstPageNumber="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1"/>
  <sheetViews>
    <sheetView topLeftCell="A4" zoomScale="96" zoomScaleNormal="96" workbookViewId="0">
      <selection activeCell="B15" sqref="B15"/>
    </sheetView>
  </sheetViews>
  <sheetFormatPr defaultRowHeight="12.75" x14ac:dyDescent="0.2"/>
  <cols>
    <col min="1" max="1" width="4.7109375" style="8" bestFit="1" customWidth="1"/>
    <col min="2" max="2" width="35.5703125" style="8" bestFit="1" customWidth="1"/>
    <col min="3" max="3" width="20.5703125" style="8" bestFit="1" customWidth="1"/>
    <col min="4" max="4" width="12.7109375" style="8" bestFit="1" customWidth="1"/>
    <col min="5" max="5" width="24.28515625" style="8" customWidth="1"/>
    <col min="6" max="6" width="23" style="8" customWidth="1"/>
    <col min="7" max="7" width="15.5703125" style="8" bestFit="1" customWidth="1"/>
    <col min="8" max="257" width="9.140625" style="8" bestFit="1" customWidth="1"/>
    <col min="258" max="1025" width="9.140625" bestFit="1" customWidth="1"/>
  </cols>
  <sheetData>
    <row r="1" spans="1:8" s="9" customFormat="1" ht="12.75" customHeight="1" x14ac:dyDescent="0.2">
      <c r="A1" s="78" t="s">
        <v>8</v>
      </c>
      <c r="B1" s="78" t="s">
        <v>9</v>
      </c>
      <c r="C1" s="78"/>
      <c r="D1" s="78"/>
      <c r="E1" s="78" t="s">
        <v>10</v>
      </c>
      <c r="F1" s="78"/>
      <c r="G1" s="78"/>
    </row>
    <row r="2" spans="1:8" s="9" customFormat="1" x14ac:dyDescent="0.2">
      <c r="A2" s="78"/>
      <c r="B2" s="78"/>
      <c r="C2" s="78"/>
      <c r="D2" s="78"/>
      <c r="E2" s="9" t="s">
        <v>11</v>
      </c>
      <c r="F2" s="9" t="s">
        <v>12</v>
      </c>
      <c r="G2" s="9" t="s">
        <v>13</v>
      </c>
    </row>
    <row r="3" spans="1:8" s="10" customFormat="1" ht="12.75" customHeight="1" x14ac:dyDescent="0.2">
      <c r="A3" s="79">
        <v>7</v>
      </c>
      <c r="B3" s="79" t="s">
        <v>107</v>
      </c>
      <c r="C3" s="79"/>
      <c r="D3" s="79"/>
      <c r="E3" s="10">
        <f>E4+E6+E8+E9+E10+E11</f>
        <v>1</v>
      </c>
      <c r="F3" s="10">
        <f>F4+F6+F8+F9+F10+F11</f>
        <v>0</v>
      </c>
      <c r="G3" s="10">
        <f>G4+G6+G8+G9+G10+G11</f>
        <v>0</v>
      </c>
    </row>
    <row r="4" spans="1:8" s="9" customFormat="1" ht="39.950000000000003" customHeight="1" x14ac:dyDescent="0.2">
      <c r="A4" s="79"/>
      <c r="B4" s="78" t="s">
        <v>15</v>
      </c>
      <c r="C4" s="80" t="s">
        <v>108</v>
      </c>
      <c r="D4" s="80"/>
      <c r="E4" s="9">
        <f>COUNTIFS($C$14:$C$30,"*Web of Science*",$D$14:$D$30,"НПР*")</f>
        <v>0</v>
      </c>
      <c r="F4" s="9">
        <f>COUNTIFS($C$14:$C$30,"*Web of Science*",$D$14:$D$30,"аспирант*")</f>
        <v>0</v>
      </c>
      <c r="G4" s="9">
        <f>COUNTIFS($C$14:$C$30,"*Web of Science*",$D$14:$D$30,"студент*")</f>
        <v>0</v>
      </c>
    </row>
    <row r="5" spans="1:8" s="9" customFormat="1" ht="12.75" customHeight="1" x14ac:dyDescent="0.2">
      <c r="A5" s="79"/>
      <c r="B5" s="78"/>
      <c r="C5" s="81" t="s">
        <v>109</v>
      </c>
      <c r="D5" s="81"/>
      <c r="E5" s="9">
        <f>COUNTIFS($C$14:$C$30,"Web of Science на англ*",$D$14:$D$30,"НПР*")</f>
        <v>0</v>
      </c>
      <c r="F5" s="60">
        <f t="shared" ref="F5:F11" si="0">COUNTIFS($C$14:$C$30,"*Web of Science*",$D$14:$D$30,"аспирант*")</f>
        <v>0</v>
      </c>
      <c r="G5" s="9">
        <f>COUNTIFS($C$14:$C$30,"Web of Science на англ*",$D$14:$D$30,"студент*")</f>
        <v>0</v>
      </c>
    </row>
    <row r="6" spans="1:8" s="9" customFormat="1" ht="39.950000000000003" customHeight="1" x14ac:dyDescent="0.2">
      <c r="A6" s="79"/>
      <c r="B6" s="78"/>
      <c r="C6" s="80" t="s">
        <v>110</v>
      </c>
      <c r="D6" s="80"/>
      <c r="E6" s="9">
        <f>COUNTIFS($C$14:$C$30,"*Scopus*",$D$14:$D$30,"НПР*")</f>
        <v>0</v>
      </c>
      <c r="F6" s="60">
        <f t="shared" si="0"/>
        <v>0</v>
      </c>
      <c r="G6" s="9">
        <f>COUNTIFS($C$14:$C$30,"*Scopus*",$D$14:$D$30,"студент*")</f>
        <v>0</v>
      </c>
    </row>
    <row r="7" spans="1:8" s="9" customFormat="1" ht="12.75" customHeight="1" x14ac:dyDescent="0.2">
      <c r="A7" s="79"/>
      <c r="B7" s="78"/>
      <c r="C7" s="81" t="s">
        <v>109</v>
      </c>
      <c r="D7" s="81"/>
      <c r="E7" s="9">
        <f>COUNTIFS($C$14:$C$30,"Scopus на англ*",$D$14:$D$30,"НПР*")</f>
        <v>0</v>
      </c>
      <c r="F7" s="60">
        <f t="shared" si="0"/>
        <v>0</v>
      </c>
      <c r="G7" s="9">
        <f>COUNTIFS($C$14:$C$30,"Scopus на англ*",$D$14:$D$30,"студент*")</f>
        <v>0</v>
      </c>
    </row>
    <row r="8" spans="1:8" s="9" customFormat="1" ht="12.75" customHeight="1" x14ac:dyDescent="0.2">
      <c r="A8" s="79"/>
      <c r="B8" s="78"/>
      <c r="C8" s="80" t="s">
        <v>111</v>
      </c>
      <c r="D8" s="80"/>
      <c r="E8" s="9">
        <f>COUNTIFS($C$14:$C$30,"*РИНЦ*",$D$14:$D$30,"НПР*")</f>
        <v>0</v>
      </c>
      <c r="F8" s="60">
        <f t="shared" si="0"/>
        <v>0</v>
      </c>
      <c r="G8" s="9">
        <f>COUNTIFS($C$14:$C$30,"*РИНЦ*",$D$14:$D$30,"студент*")</f>
        <v>0</v>
      </c>
    </row>
    <row r="9" spans="1:8" s="9" customFormat="1" ht="12.75" customHeight="1" x14ac:dyDescent="0.2">
      <c r="A9" s="79"/>
      <c r="B9" s="78"/>
      <c r="C9" s="80" t="s">
        <v>112</v>
      </c>
      <c r="D9" s="80"/>
      <c r="E9" s="9">
        <f>COUNTIFS($C$14:$C$30,"*ВАК*",$D$14:$D$30,"НПР*")</f>
        <v>1</v>
      </c>
      <c r="F9" s="60">
        <f t="shared" si="0"/>
        <v>0</v>
      </c>
      <c r="G9" s="9">
        <f>COUNTIFS($C$14:$C$30,"*ВАК*",$D$14:$D$30,"студент*")</f>
        <v>0</v>
      </c>
    </row>
    <row r="10" spans="1:8" s="9" customFormat="1" ht="12.75" hidden="1" customHeight="1" x14ac:dyDescent="0.2">
      <c r="A10" s="79"/>
      <c r="B10" s="78"/>
      <c r="C10" s="80" t="s">
        <v>113</v>
      </c>
      <c r="D10" s="80"/>
      <c r="E10" s="9">
        <f>COUNTIFS($C$14:$C$18,"*ЧГУ*",$D$14:$D$18,"НПР*")</f>
        <v>0</v>
      </c>
      <c r="F10" s="60">
        <f t="shared" si="0"/>
        <v>0</v>
      </c>
      <c r="G10" s="9">
        <f>COUNTIFS($C$14:$C$18,"*ЧГУ*",$D$14:$D$18,"студент*")</f>
        <v>0</v>
      </c>
    </row>
    <row r="11" spans="1:8" s="9" customFormat="1" ht="12.75" customHeight="1" x14ac:dyDescent="0.2">
      <c r="A11" s="79"/>
      <c r="B11" s="78"/>
      <c r="C11" s="80" t="s">
        <v>114</v>
      </c>
      <c r="D11" s="80"/>
      <c r="E11" s="9">
        <f>COUNTIFS($C$14:$C$30,"другое",$D$14:$D$30,"НПР*")</f>
        <v>0</v>
      </c>
      <c r="F11" s="60">
        <f t="shared" si="0"/>
        <v>0</v>
      </c>
      <c r="G11" s="9">
        <f>COUNTIFS($C$14:$C$30,"другое",$D$14:$D$30,"студент*")</f>
        <v>0</v>
      </c>
    </row>
    <row r="12" spans="1:8" ht="25.5" customHeight="1" x14ac:dyDescent="0.2">
      <c r="A12" s="82" t="s">
        <v>275</v>
      </c>
      <c r="B12" s="82"/>
      <c r="C12" s="82"/>
      <c r="D12" s="82"/>
      <c r="E12" s="82"/>
      <c r="F12" s="82"/>
      <c r="G12" s="82"/>
    </row>
    <row r="13" spans="1:8" s="13" customFormat="1" ht="38.25" x14ac:dyDescent="0.2">
      <c r="A13" s="13" t="s">
        <v>21</v>
      </c>
      <c r="B13" s="13" t="s">
        <v>115</v>
      </c>
      <c r="C13" s="13" t="s">
        <v>116</v>
      </c>
      <c r="D13" s="13" t="s">
        <v>295</v>
      </c>
      <c r="E13" s="13" t="s">
        <v>103</v>
      </c>
      <c r="F13" s="13" t="s">
        <v>117</v>
      </c>
      <c r="G13" s="13" t="s">
        <v>118</v>
      </c>
      <c r="H13" s="13" t="s">
        <v>294</v>
      </c>
    </row>
    <row r="14" spans="1:8" s="14" customFormat="1" ht="62.25" customHeight="1" x14ac:dyDescent="0.2">
      <c r="A14" s="14">
        <v>1</v>
      </c>
      <c r="B14" s="14" t="s">
        <v>311</v>
      </c>
      <c r="C14" s="14" t="s">
        <v>244</v>
      </c>
      <c r="D14" s="14" t="s">
        <v>11</v>
      </c>
      <c r="E14" s="14" t="s">
        <v>312</v>
      </c>
      <c r="F14" s="37" t="s">
        <v>313</v>
      </c>
      <c r="G14" s="54">
        <v>0.46</v>
      </c>
      <c r="H14" s="38"/>
    </row>
    <row r="15" spans="1:8" s="14" customFormat="1" ht="75.75" customHeight="1" x14ac:dyDescent="0.2">
      <c r="B15" s="18"/>
      <c r="C15" s="57"/>
      <c r="D15" s="57"/>
      <c r="G15" s="39"/>
      <c r="H15" s="59"/>
    </row>
    <row r="16" spans="1:8" s="50" customFormat="1" ht="75" customHeight="1" x14ac:dyDescent="0.2">
      <c r="C16" s="57"/>
      <c r="D16" s="57"/>
      <c r="F16" s="14"/>
      <c r="G16" s="52"/>
      <c r="H16" s="59"/>
    </row>
    <row r="17" spans="1:257" s="51" customFormat="1" ht="78.75" customHeight="1" x14ac:dyDescent="0.2">
      <c r="B17" s="53"/>
      <c r="C17" s="57"/>
      <c r="D17" s="57"/>
      <c r="F17" s="14"/>
      <c r="G17" s="54"/>
      <c r="H17" s="59"/>
    </row>
    <row r="18" spans="1:257" s="55" customFormat="1" ht="78" customHeight="1" x14ac:dyDescent="0.2">
      <c r="A18" s="51"/>
      <c r="B18" s="51"/>
      <c r="C18" s="57"/>
      <c r="D18" s="57"/>
      <c r="E18" s="51"/>
      <c r="F18" s="14"/>
      <c r="G18" s="51"/>
      <c r="H18" s="59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  <row r="19" spans="1:257" s="55" customFormat="1" ht="75.75" customHeight="1" x14ac:dyDescent="0.2">
      <c r="A19" s="51"/>
      <c r="B19" s="53"/>
      <c r="C19" s="57"/>
      <c r="D19" s="57"/>
      <c r="E19" s="51"/>
      <c r="F19" s="14"/>
      <c r="G19" s="51"/>
      <c r="H19" s="59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</row>
    <row r="20" spans="1:257" s="55" customFormat="1" ht="79.5" customHeight="1" x14ac:dyDescent="0.2">
      <c r="A20" s="51"/>
      <c r="B20" s="51"/>
      <c r="C20" s="57"/>
      <c r="D20" s="57"/>
      <c r="E20" s="51"/>
      <c r="F20" s="14"/>
      <c r="G20" s="51"/>
      <c r="H20" s="59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</row>
    <row r="21" spans="1:257" s="55" customFormat="1" ht="79.5" customHeight="1" x14ac:dyDescent="0.2">
      <c r="A21" s="51"/>
      <c r="B21" s="51"/>
      <c r="C21" s="57"/>
      <c r="D21" s="57"/>
      <c r="E21" s="51"/>
      <c r="F21" s="14"/>
      <c r="G21" s="51"/>
      <c r="H21" s="59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</row>
    <row r="22" spans="1:257" s="55" customFormat="1" ht="81" customHeight="1" x14ac:dyDescent="0.2">
      <c r="A22" s="51"/>
      <c r="B22" s="51"/>
      <c r="C22" s="57"/>
      <c r="D22" s="57"/>
      <c r="E22" s="51"/>
      <c r="F22" s="14"/>
      <c r="G22" s="51"/>
      <c r="H22" s="59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</row>
    <row r="23" spans="1:257" s="55" customFormat="1" ht="116.25" customHeight="1" x14ac:dyDescent="0.2">
      <c r="A23" s="51"/>
      <c r="B23" s="51"/>
      <c r="C23" s="57"/>
      <c r="D23" s="57"/>
      <c r="E23" s="51"/>
      <c r="F23" s="14"/>
      <c r="G23" s="51"/>
      <c r="H23" s="59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</row>
    <row r="24" spans="1:257" s="55" customFormat="1" ht="103.5" customHeight="1" x14ac:dyDescent="0.2">
      <c r="A24" s="51"/>
      <c r="B24" s="51"/>
      <c r="C24" s="57"/>
      <c r="D24" s="57"/>
      <c r="E24" s="51"/>
      <c r="F24" s="14"/>
      <c r="G24" s="51"/>
      <c r="H24" s="59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</row>
    <row r="25" spans="1:257" s="55" customFormat="1" ht="116.25" customHeight="1" x14ac:dyDescent="0.2">
      <c r="A25" s="51"/>
      <c r="B25" s="51"/>
      <c r="C25" s="57"/>
      <c r="D25" s="57"/>
      <c r="E25" s="51"/>
      <c r="F25" s="14"/>
      <c r="G25" s="51"/>
      <c r="H25" s="59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</row>
    <row r="26" spans="1:257" s="55" customFormat="1" ht="112.5" customHeight="1" x14ac:dyDescent="0.2">
      <c r="A26" s="51"/>
      <c r="B26" s="51"/>
      <c r="C26" s="57"/>
      <c r="D26" s="57"/>
      <c r="E26" s="51"/>
      <c r="F26" s="14"/>
      <c r="G26" s="51"/>
      <c r="H26" s="59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</row>
    <row r="27" spans="1:257" s="55" customFormat="1" x14ac:dyDescent="0.2">
      <c r="A27" s="51"/>
      <c r="B27" s="51"/>
      <c r="C27" s="57"/>
      <c r="D27" s="57"/>
      <c r="E27" s="51"/>
      <c r="F27" s="14"/>
      <c r="G27" s="51"/>
      <c r="H27" s="59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</row>
    <row r="28" spans="1:257" s="55" customFormat="1" x14ac:dyDescent="0.2">
      <c r="A28" s="51"/>
      <c r="B28" s="51"/>
      <c r="C28" s="57"/>
      <c r="D28" s="57"/>
      <c r="E28" s="51"/>
      <c r="F28" s="14"/>
      <c r="G28" s="51"/>
      <c r="H28" s="59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</row>
    <row r="29" spans="1:257" s="55" customFormat="1" x14ac:dyDescent="0.2">
      <c r="A29" s="51"/>
      <c r="B29" s="51"/>
      <c r="C29" s="57"/>
      <c r="D29" s="57"/>
      <c r="E29" s="51"/>
      <c r="F29" s="14"/>
      <c r="G29" s="51"/>
      <c r="H29" s="59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</row>
    <row r="30" spans="1:257" s="55" customFormat="1" x14ac:dyDescent="0.2">
      <c r="A30" s="51"/>
      <c r="B30" s="51"/>
      <c r="C30" s="57"/>
      <c r="D30" s="57"/>
      <c r="E30" s="51"/>
      <c r="F30" s="14"/>
      <c r="G30" s="51"/>
      <c r="H30" s="59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spans="1:257" s="55" customFormat="1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</row>
    <row r="32" spans="1:257" s="55" customForma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</row>
    <row r="33" spans="1:257" s="55" customFormat="1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</row>
    <row r="34" spans="1:257" s="55" customFormat="1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</row>
    <row r="35" spans="1:257" s="55" customFormat="1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spans="1:257" s="55" customFormat="1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</row>
    <row r="37" spans="1:257" s="55" customFormat="1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</row>
    <row r="38" spans="1:257" s="55" customFormat="1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</row>
    <row r="39" spans="1:257" s="55" customForma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</row>
    <row r="40" spans="1:257" s="55" customFormat="1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spans="1:257" s="55" customFormat="1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</row>
    <row r="42" spans="1:257" s="55" customFormat="1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</row>
    <row r="43" spans="1:257" s="55" customFormat="1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</row>
    <row r="45" spans="1:257" x14ac:dyDescent="0.2">
      <c r="C45" s="8" t="s">
        <v>239</v>
      </c>
      <c r="D45" s="56" t="s">
        <v>11</v>
      </c>
      <c r="H45" s="8" t="s">
        <v>293</v>
      </c>
    </row>
    <row r="46" spans="1:257" ht="25.5" x14ac:dyDescent="0.2">
      <c r="C46" s="56" t="s">
        <v>317</v>
      </c>
      <c r="D46" s="56" t="s">
        <v>33</v>
      </c>
      <c r="H46" s="8" t="s">
        <v>120</v>
      </c>
    </row>
    <row r="47" spans="1:257" x14ac:dyDescent="0.2">
      <c r="C47" s="8" t="s">
        <v>242</v>
      </c>
      <c r="D47" s="56" t="s">
        <v>31</v>
      </c>
    </row>
    <row r="48" spans="1:257" x14ac:dyDescent="0.2">
      <c r="C48" s="56" t="s">
        <v>316</v>
      </c>
    </row>
    <row r="49" spans="3:3" x14ac:dyDescent="0.2">
      <c r="C49" s="8" t="s">
        <v>243</v>
      </c>
    </row>
    <row r="50" spans="3:3" x14ac:dyDescent="0.2">
      <c r="C50" s="8" t="s">
        <v>244</v>
      </c>
    </row>
    <row r="51" spans="3:3" x14ac:dyDescent="0.2">
      <c r="C51" s="8" t="s">
        <v>114</v>
      </c>
    </row>
  </sheetData>
  <mergeCells count="15">
    <mergeCell ref="A12:G12"/>
    <mergeCell ref="A1:A2"/>
    <mergeCell ref="B1:D2"/>
    <mergeCell ref="E1:G1"/>
    <mergeCell ref="A3:A11"/>
    <mergeCell ref="B3:D3"/>
    <mergeCell ref="B4:B11"/>
    <mergeCell ref="C4:D4"/>
    <mergeCell ref="C5:D5"/>
    <mergeCell ref="C6:D6"/>
    <mergeCell ref="C7:D7"/>
    <mergeCell ref="C8:D8"/>
    <mergeCell ref="C9:D9"/>
    <mergeCell ref="C10:D10"/>
    <mergeCell ref="C11:D11"/>
  </mergeCells>
  <dataValidations count="3">
    <dataValidation type="list" allowBlank="1" showInputMessage="1" showErrorMessage="1" sqref="C14:C30">
      <formula1>$C$45:$C$51</formula1>
    </dataValidation>
    <dataValidation type="list" allowBlank="1" showInputMessage="1" showErrorMessage="1" sqref="H14:H30">
      <formula1>$H$45:$H$46</formula1>
    </dataValidation>
    <dataValidation type="list" allowBlank="1" showInputMessage="1" showErrorMessage="1" sqref="D14:D30">
      <formula1>$D$45:$D$47</formula1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98" firstPageNumber="0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43"/>
  <sheetViews>
    <sheetView tabSelected="1" topLeftCell="A21" zoomScaleNormal="100" workbookViewId="0">
      <selection activeCell="B22" sqref="B22"/>
    </sheetView>
  </sheetViews>
  <sheetFormatPr defaultRowHeight="12.75" x14ac:dyDescent="0.2"/>
  <cols>
    <col min="1" max="1" width="4.7109375" style="8" bestFit="1" customWidth="1"/>
    <col min="2" max="2" width="35.5703125" style="8" bestFit="1" customWidth="1"/>
    <col min="3" max="3" width="20.5703125" style="8" bestFit="1" customWidth="1"/>
    <col min="4" max="4" width="12.7109375" style="8" bestFit="1" customWidth="1"/>
    <col min="5" max="6" width="20.5703125" style="8" bestFit="1" customWidth="1"/>
    <col min="7" max="7" width="15.5703125" style="8" bestFit="1" customWidth="1"/>
    <col min="8" max="11" width="9.140625" style="8" hidden="1" bestFit="1" customWidth="1"/>
    <col min="12" max="257" width="9.140625" style="8" bestFit="1" customWidth="1"/>
    <col min="258" max="1025" width="9.140625" bestFit="1" customWidth="1"/>
  </cols>
  <sheetData>
    <row r="1" spans="1:7" s="9" customFormat="1" ht="12.75" customHeight="1" x14ac:dyDescent="0.2">
      <c r="A1" s="78" t="s">
        <v>8</v>
      </c>
      <c r="B1" s="78" t="s">
        <v>9</v>
      </c>
      <c r="C1" s="78"/>
      <c r="D1" s="78"/>
      <c r="E1" s="78" t="s">
        <v>10</v>
      </c>
      <c r="F1" s="78"/>
      <c r="G1" s="78"/>
    </row>
    <row r="2" spans="1:7" s="9" customFormat="1" x14ac:dyDescent="0.2">
      <c r="A2" s="78"/>
      <c r="B2" s="78"/>
      <c r="C2" s="78"/>
      <c r="D2" s="78"/>
      <c r="E2" s="9" t="s">
        <v>11</v>
      </c>
      <c r="F2" s="9" t="s">
        <v>12</v>
      </c>
      <c r="G2" s="9" t="s">
        <v>13</v>
      </c>
    </row>
    <row r="3" spans="1:7" s="10" customFormat="1" ht="35.1" customHeight="1" x14ac:dyDescent="0.2">
      <c r="A3" s="79">
        <v>8</v>
      </c>
      <c r="B3" s="79" t="s">
        <v>121</v>
      </c>
      <c r="C3" s="79"/>
      <c r="D3" s="79"/>
      <c r="E3" s="10">
        <f>E4+E7+E10+E11</f>
        <v>4</v>
      </c>
      <c r="F3" s="10">
        <f>F4+F7+F10+F11</f>
        <v>0</v>
      </c>
      <c r="G3" s="10">
        <f>G4+G7+G10+G11</f>
        <v>2</v>
      </c>
    </row>
    <row r="4" spans="1:7" s="9" customFormat="1" ht="12.75" customHeight="1" x14ac:dyDescent="0.2">
      <c r="A4" s="79"/>
      <c r="B4" s="78" t="s">
        <v>122</v>
      </c>
      <c r="C4" s="90" t="s">
        <v>35</v>
      </c>
      <c r="D4" s="90"/>
      <c r="E4" s="9">
        <f>COUNTIFS($C$16:$C$43,"*межд*",$D$16:$D$43,"НПР*")</f>
        <v>4</v>
      </c>
      <c r="F4" s="9">
        <f>COUNTIFS($C$16:$C$43,"*межд*",$D$16:$D$43,"аспирант*")</f>
        <v>0</v>
      </c>
      <c r="G4" s="9">
        <f>COUNTIFS($C$16:$C$43,"*межд*",$D$16:$D$43,"студент*")</f>
        <v>2</v>
      </c>
    </row>
    <row r="5" spans="1:7" s="9" customFormat="1" ht="12.75" customHeight="1" x14ac:dyDescent="0.2">
      <c r="A5" s="79"/>
      <c r="B5" s="78"/>
      <c r="C5" s="81" t="s">
        <v>17</v>
      </c>
      <c r="D5" s="81"/>
      <c r="E5" s="9">
        <f>COUNTIFS($C$16:$C$43,"*за рубеж*",$D$16:$D$43,"НПР*")</f>
        <v>0</v>
      </c>
      <c r="F5" s="9">
        <f>COUNTIFS($C$16:$C$43,"*за рубеж*",$D$16:$D$43,"аспирант*")</f>
        <v>0</v>
      </c>
      <c r="G5" s="9">
        <f>COUNTIFS($C$16:$C$43,"*за рубеж*",$D$16:$D$43,"студент*")</f>
        <v>0</v>
      </c>
    </row>
    <row r="6" spans="1:7" s="9" customFormat="1" ht="12.75" customHeight="1" x14ac:dyDescent="0.2">
      <c r="A6" s="79"/>
      <c r="B6" s="78"/>
      <c r="C6" s="81" t="s">
        <v>123</v>
      </c>
      <c r="D6" s="81"/>
      <c r="E6" s="9">
        <f>COUNTIFS($C$16:$C$43,"*на иностр*",$D$16:$D$43,"НПР*")</f>
        <v>0</v>
      </c>
      <c r="F6" s="9">
        <f>COUNTIFS($C$16:$C$43,"*на иностр*",$D$16:$D$43,"аспирант*")</f>
        <v>0</v>
      </c>
      <c r="G6" s="9">
        <f>COUNTIFS($C$16:$C$43,"*на иностр*",$D$16:$D$43,"студент*")</f>
        <v>0</v>
      </c>
    </row>
    <row r="7" spans="1:7" s="9" customFormat="1" ht="12.75" customHeight="1" x14ac:dyDescent="0.2">
      <c r="A7" s="79"/>
      <c r="B7" s="78"/>
      <c r="C7" s="90" t="s">
        <v>124</v>
      </c>
      <c r="D7" s="90"/>
      <c r="E7" s="9">
        <f>COUNTIFS($C$16:$C$43,"*федер*",$D$16:$D$43,"НПР*")</f>
        <v>0</v>
      </c>
      <c r="F7" s="9">
        <f>COUNTIFS($C$16:$C$43,"*федер*",$D$16:$D$43,"аспирант*")</f>
        <v>0</v>
      </c>
      <c r="G7" s="9">
        <f>COUNTIFS($C$16:$C$43,"*федер*",$D$16:$D$43,"студент*")</f>
        <v>0</v>
      </c>
    </row>
    <row r="8" spans="1:7" s="9" customFormat="1" ht="12.75" customHeight="1" x14ac:dyDescent="0.2">
      <c r="A8" s="79"/>
      <c r="B8" s="78"/>
      <c r="C8" s="81" t="s">
        <v>125</v>
      </c>
      <c r="D8" s="81"/>
      <c r="E8" s="9">
        <f>COUNTIFS($C$16:$C$43,"*РИНЦ*",$D$16:$D$43,"НПР*")</f>
        <v>0</v>
      </c>
      <c r="F8" s="9">
        <f>COUNTIFS($C$16:$C$43,"*РИНЦ*",$D$16:$D$43,"аспирант*")</f>
        <v>0</v>
      </c>
      <c r="G8" s="9">
        <f>COUNTIFS($C$16:$C$43,"*РИНЦ*",$D$16:$D$43,"студент*")</f>
        <v>0</v>
      </c>
    </row>
    <row r="9" spans="1:7" s="9" customFormat="1" ht="12.75" hidden="1" customHeight="1" x14ac:dyDescent="0.2">
      <c r="A9" s="79"/>
      <c r="B9" s="78"/>
      <c r="C9" s="91" t="s">
        <v>19</v>
      </c>
      <c r="D9" s="91"/>
      <c r="E9" s="9">
        <f>COUNTIFS($C$16:$C$43,"*Череповец*",$D$16:$D$43,"НПР*")</f>
        <v>0</v>
      </c>
      <c r="F9" s="9">
        <f>COUNTIFS($C$16:$C$43,"*Череповец*",$D$16:$D$43,"аспирант*")</f>
        <v>0</v>
      </c>
      <c r="G9" s="9">
        <f>COUNTIFS($C$16:$C$43,"*Череповец*",$D$16:$D$43,"студент*")</f>
        <v>0</v>
      </c>
    </row>
    <row r="10" spans="1:7" s="9" customFormat="1" ht="12.75" customHeight="1" x14ac:dyDescent="0.2">
      <c r="A10" s="79"/>
      <c r="B10" s="78"/>
      <c r="C10" s="90" t="s">
        <v>28</v>
      </c>
      <c r="D10" s="90"/>
      <c r="E10" s="9">
        <f>COUNTIFS($C$16:$C$43,"регион*",$D$16:$D$43,"НПР*")</f>
        <v>0</v>
      </c>
      <c r="F10" s="9">
        <f>COUNTIFS($C$16:$C$43,"регион*",$D$16:$D$43,"аспирант*")</f>
        <v>0</v>
      </c>
      <c r="G10" s="9">
        <f>COUNTIFS($C$16:$C$43,"регион*",$D$16:$D$43,"студент*")</f>
        <v>0</v>
      </c>
    </row>
    <row r="11" spans="1:7" s="9" customFormat="1" ht="12.75" customHeight="1" x14ac:dyDescent="0.2">
      <c r="A11" s="79"/>
      <c r="B11" s="78"/>
      <c r="C11" s="90" t="s">
        <v>277</v>
      </c>
      <c r="D11" s="90"/>
      <c r="E11" s="9">
        <f>COUNTIFS($C$16:$C$43,"*уровня ЧГУ*",$D$16:$D$43,"НПР*")</f>
        <v>0</v>
      </c>
      <c r="F11" s="9">
        <f>COUNTIFS($C$16:$C$43,"*уровня ЧГУ*",$D$16:$D$43,"аспирант*")</f>
        <v>0</v>
      </c>
      <c r="G11" s="9">
        <f>COUNTIFS($C$16:$C$43,"*уровня ЧГУ*",$D$16:$D$43,"студент*")</f>
        <v>0</v>
      </c>
    </row>
    <row r="12" spans="1:7" s="9" customFormat="1" ht="25.5" customHeight="1" x14ac:dyDescent="0.2">
      <c r="A12" s="79"/>
      <c r="B12" s="78"/>
      <c r="C12" s="81" t="s">
        <v>296</v>
      </c>
      <c r="D12" s="81"/>
      <c r="E12" s="9">
        <f>COUNTIFS($C$16:$C$43,"*Студенч*",$D$16:$D$43,"НПР*")</f>
        <v>0</v>
      </c>
      <c r="F12" s="9">
        <f>COUNTIFS($C$16:$C$43,"*Студенч*",$D$16:$D$43,"аспирант*")</f>
        <v>0</v>
      </c>
      <c r="G12" s="9">
        <f>COUNTIFS($C$16:$C$43,"*Студенч*",$D$16:$D$43,"студент*")</f>
        <v>0</v>
      </c>
    </row>
    <row r="13" spans="1:7" s="9" customFormat="1" ht="25.5" hidden="1" customHeight="1" x14ac:dyDescent="0.2">
      <c r="A13" s="79"/>
      <c r="B13" s="78"/>
      <c r="C13" s="81" t="s">
        <v>126</v>
      </c>
      <c r="D13" s="81"/>
      <c r="E13" s="9">
        <f>COUNTIFS($C$16:$C$43,"*Дебют*",$D$16:$D$43,"НПР*")</f>
        <v>0</v>
      </c>
      <c r="F13" s="9">
        <f>COUNTIFS($C$16:$C$43,"*Дебют*",$D$16:$D$43,"аспирант*")</f>
        <v>0</v>
      </c>
      <c r="G13" s="9">
        <f>COUNTIFS($C$16:$C$43,"*Дебют*",$D$16:$D$43,"студент*")</f>
        <v>0</v>
      </c>
    </row>
    <row r="14" spans="1:7" s="8" customFormat="1" ht="36.75" customHeight="1" x14ac:dyDescent="0.2">
      <c r="A14" s="82" t="s">
        <v>276</v>
      </c>
      <c r="B14" s="82"/>
      <c r="C14" s="82"/>
      <c r="D14" s="82"/>
      <c r="E14" s="82"/>
      <c r="F14" s="82"/>
      <c r="G14" s="82"/>
    </row>
    <row r="15" spans="1:7" s="13" customFormat="1" ht="25.5" x14ac:dyDescent="0.2">
      <c r="A15" s="13" t="s">
        <v>21</v>
      </c>
      <c r="B15" s="13" t="s">
        <v>115</v>
      </c>
      <c r="C15" s="13" t="s">
        <v>127</v>
      </c>
      <c r="D15" s="13" t="s">
        <v>295</v>
      </c>
      <c r="E15" s="13" t="s">
        <v>103</v>
      </c>
      <c r="F15" s="13" t="s">
        <v>128</v>
      </c>
      <c r="G15" s="13" t="s">
        <v>25</v>
      </c>
    </row>
    <row r="16" spans="1:7" s="14" customFormat="1" ht="102" x14ac:dyDescent="0.2">
      <c r="A16" s="14">
        <v>1</v>
      </c>
      <c r="B16" s="58" t="s">
        <v>320</v>
      </c>
      <c r="C16" s="14" t="s">
        <v>35</v>
      </c>
      <c r="D16" s="14" t="s">
        <v>280</v>
      </c>
      <c r="E16" s="62" t="s">
        <v>321</v>
      </c>
      <c r="F16" s="57" t="s">
        <v>345</v>
      </c>
      <c r="G16" s="14" t="s">
        <v>129</v>
      </c>
    </row>
    <row r="17" spans="1:7" s="14" customFormat="1" ht="116.25" customHeight="1" x14ac:dyDescent="0.2">
      <c r="A17" s="14">
        <v>2</v>
      </c>
      <c r="B17" s="50" t="s">
        <v>322</v>
      </c>
      <c r="C17" s="14" t="s">
        <v>35</v>
      </c>
      <c r="D17" s="57" t="s">
        <v>280</v>
      </c>
      <c r="E17" s="50" t="s">
        <v>323</v>
      </c>
      <c r="F17" s="57" t="s">
        <v>346</v>
      </c>
      <c r="G17" s="14" t="s">
        <v>129</v>
      </c>
    </row>
    <row r="18" spans="1:7" s="14" customFormat="1" ht="102" x14ac:dyDescent="0.2">
      <c r="A18" s="14">
        <v>3</v>
      </c>
      <c r="B18" s="53" t="s">
        <v>324</v>
      </c>
      <c r="C18" s="14" t="s">
        <v>35</v>
      </c>
      <c r="D18" s="57" t="s">
        <v>31</v>
      </c>
      <c r="E18" s="50" t="s">
        <v>325</v>
      </c>
      <c r="F18" s="57" t="s">
        <v>347</v>
      </c>
      <c r="G18" s="14" t="s">
        <v>129</v>
      </c>
    </row>
    <row r="19" spans="1:7" s="14" customFormat="1" ht="102" x14ac:dyDescent="0.2">
      <c r="A19" s="14">
        <v>4</v>
      </c>
      <c r="B19" s="51" t="s">
        <v>326</v>
      </c>
      <c r="C19" s="14" t="s">
        <v>35</v>
      </c>
      <c r="D19" s="14" t="s">
        <v>31</v>
      </c>
      <c r="E19" s="50" t="s">
        <v>327</v>
      </c>
      <c r="F19" s="57" t="s">
        <v>350</v>
      </c>
      <c r="G19" s="14" t="s">
        <v>129</v>
      </c>
    </row>
    <row r="20" spans="1:7" s="14" customFormat="1" ht="140.25" x14ac:dyDescent="0.2">
      <c r="A20" s="14">
        <v>5</v>
      </c>
      <c r="B20" s="51" t="s">
        <v>329</v>
      </c>
      <c r="C20" s="14" t="s">
        <v>330</v>
      </c>
      <c r="D20" s="57" t="s">
        <v>280</v>
      </c>
      <c r="E20" s="51" t="s">
        <v>339</v>
      </c>
      <c r="F20" s="65" t="s">
        <v>328</v>
      </c>
    </row>
    <row r="21" spans="1:7" s="14" customFormat="1" ht="127.5" x14ac:dyDescent="0.2">
      <c r="A21" s="14">
        <v>6</v>
      </c>
      <c r="B21" s="51" t="s">
        <v>314</v>
      </c>
      <c r="C21" s="14" t="s">
        <v>35</v>
      </c>
      <c r="D21" s="57" t="s">
        <v>280</v>
      </c>
      <c r="E21" s="51" t="s">
        <v>339</v>
      </c>
      <c r="F21" s="57" t="s">
        <v>315</v>
      </c>
    </row>
    <row r="22" spans="1:7" s="14" customFormat="1" ht="38.25" x14ac:dyDescent="0.2">
      <c r="A22" s="14">
        <v>7</v>
      </c>
      <c r="B22" s="69" t="s">
        <v>331</v>
      </c>
      <c r="C22" s="69" t="s">
        <v>114</v>
      </c>
      <c r="D22" s="69" t="s">
        <v>280</v>
      </c>
      <c r="E22" s="69" t="s">
        <v>337</v>
      </c>
      <c r="F22" s="69" t="s">
        <v>332</v>
      </c>
    </row>
    <row r="23" spans="1:7" s="14" customFormat="1" ht="38.25" x14ac:dyDescent="0.2">
      <c r="A23" s="14">
        <v>8</v>
      </c>
      <c r="B23" s="69" t="s">
        <v>333</v>
      </c>
      <c r="C23" s="69" t="s">
        <v>114</v>
      </c>
      <c r="D23" s="69" t="s">
        <v>280</v>
      </c>
      <c r="E23" s="64" t="s">
        <v>338</v>
      </c>
      <c r="F23" s="64" t="s">
        <v>334</v>
      </c>
    </row>
    <row r="24" spans="1:7" s="14" customFormat="1" ht="51" x14ac:dyDescent="0.2">
      <c r="A24" s="14">
        <v>9</v>
      </c>
      <c r="B24" s="69" t="s">
        <v>335</v>
      </c>
      <c r="C24" s="69" t="s">
        <v>114</v>
      </c>
      <c r="D24" s="71" t="s">
        <v>280</v>
      </c>
      <c r="E24" s="67" t="s">
        <v>337</v>
      </c>
      <c r="F24" s="68"/>
      <c r="G24" s="66"/>
    </row>
    <row r="25" spans="1:7" s="14" customFormat="1" ht="51" x14ac:dyDescent="0.2">
      <c r="A25" s="14">
        <v>10</v>
      </c>
      <c r="B25" s="69" t="s">
        <v>336</v>
      </c>
      <c r="C25" s="69" t="s">
        <v>114</v>
      </c>
      <c r="D25" s="71" t="s">
        <v>280</v>
      </c>
      <c r="E25" s="67" t="s">
        <v>337</v>
      </c>
      <c r="F25" s="68"/>
      <c r="G25" s="66"/>
    </row>
    <row r="26" spans="1:7" s="14" customFormat="1" x14ac:dyDescent="0.2">
      <c r="B26" s="51"/>
      <c r="E26" s="63"/>
      <c r="F26" s="72"/>
    </row>
    <row r="27" spans="1:7" s="14" customFormat="1" x14ac:dyDescent="0.2">
      <c r="B27" s="51"/>
      <c r="E27" s="51"/>
      <c r="F27" s="57"/>
    </row>
    <row r="28" spans="1:7" s="14" customFormat="1" x14ac:dyDescent="0.2">
      <c r="B28" s="51"/>
      <c r="E28" s="51"/>
      <c r="F28" s="57"/>
    </row>
    <row r="29" spans="1:7" s="14" customFormat="1" x14ac:dyDescent="0.2"/>
    <row r="30" spans="1:7" s="14" customFormat="1" x14ac:dyDescent="0.2"/>
    <row r="31" spans="1:7" s="14" customFormat="1" x14ac:dyDescent="0.2">
      <c r="B31" s="51"/>
      <c r="E31" s="51"/>
      <c r="F31" s="57"/>
    </row>
    <row r="32" spans="1:7" s="14" customFormat="1" x14ac:dyDescent="0.2">
      <c r="F32" s="18"/>
    </row>
    <row r="33" spans="2:6" s="14" customFormat="1" x14ac:dyDescent="0.2">
      <c r="B33" s="18"/>
    </row>
    <row r="34" spans="2:6" s="14" customFormat="1" x14ac:dyDescent="0.2">
      <c r="B34" s="18"/>
      <c r="E34" s="27"/>
      <c r="F34" s="18"/>
    </row>
    <row r="35" spans="2:6" s="14" customFormat="1" x14ac:dyDescent="0.2">
      <c r="B35" s="18"/>
      <c r="F35" s="18"/>
    </row>
    <row r="36" spans="2:6" s="14" customFormat="1" x14ac:dyDescent="0.2">
      <c r="B36" s="18"/>
      <c r="F36" s="18"/>
    </row>
    <row r="37" spans="2:6" s="14" customFormat="1" x14ac:dyDescent="0.2">
      <c r="B37" s="18"/>
      <c r="F37" s="18"/>
    </row>
    <row r="38" spans="2:6" s="14" customFormat="1" x14ac:dyDescent="0.2">
      <c r="B38" s="16"/>
      <c r="E38" s="28"/>
      <c r="F38" s="18"/>
    </row>
    <row r="39" spans="2:6" s="14" customFormat="1" x14ac:dyDescent="0.2">
      <c r="B39" s="18"/>
      <c r="E39" s="28"/>
      <c r="F39" s="18"/>
    </row>
    <row r="40" spans="2:6" s="14" customFormat="1" x14ac:dyDescent="0.2">
      <c r="B40" s="18"/>
      <c r="F40" s="18"/>
    </row>
    <row r="41" spans="2:6" s="14" customFormat="1" x14ac:dyDescent="0.2">
      <c r="B41" s="18"/>
      <c r="F41" s="18"/>
    </row>
    <row r="42" spans="2:6" s="14" customFormat="1" x14ac:dyDescent="0.2">
      <c r="B42" s="18"/>
      <c r="E42" s="28"/>
      <c r="F42" s="18"/>
    </row>
    <row r="43" spans="2:6" s="14" customFormat="1" x14ac:dyDescent="0.2">
      <c r="B43" s="18"/>
      <c r="E43" s="28"/>
      <c r="F43" s="18"/>
    </row>
  </sheetData>
  <mergeCells count="17">
    <mergeCell ref="C12:D12"/>
    <mergeCell ref="C13:D13"/>
    <mergeCell ref="A14:G14"/>
    <mergeCell ref="A1:A2"/>
    <mergeCell ref="B1:D2"/>
    <mergeCell ref="E1:G1"/>
    <mergeCell ref="A3:A13"/>
    <mergeCell ref="B3:D3"/>
    <mergeCell ref="B4:B13"/>
    <mergeCell ref="C4:D4"/>
    <mergeCell ref="C5:D5"/>
    <mergeCell ref="C6:D6"/>
    <mergeCell ref="C7:D7"/>
    <mergeCell ref="C8:D8"/>
    <mergeCell ref="C9:D9"/>
    <mergeCell ref="C10:D10"/>
    <mergeCell ref="C11:D11"/>
  </mergeCells>
  <dataValidations count="3">
    <dataValidation type="list" allowBlank="1" showErrorMessage="1" sqref="G16:G43">
      <formula1>Форма2</formula1>
      <formula2>0</formula2>
    </dataValidation>
    <dataValidation type="list" allowBlank="1" showErrorMessage="1" sqref="C16:C28 C31:C43">
      <formula1>Уровень3</formula1>
      <formula2>0</formula2>
    </dataValidation>
    <dataValidation type="list" allowBlank="1" showErrorMessage="1" sqref="D16:D28 D31:D43">
      <formula1>Участники</formula1>
      <formula2>0</formula2>
    </dataValidation>
  </dataValidations>
  <printOptions gridLines="1"/>
  <pageMargins left="0.59027777777777801" right="0.59027777777777801" top="0.59027777777777801" bottom="0.59027777777777801" header="0.51180555555555496" footer="0.51180555555555496"/>
  <pageSetup paperSize="9" scale="70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59</vt:i4>
      </vt:variant>
    </vt:vector>
  </HeadingPairs>
  <TitlesOfParts>
    <vt:vector size="74" baseType="lpstr">
      <vt:lpstr>Тит_лист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Выбор</vt:lpstr>
      <vt:lpstr>'1'!Excel_BuiltIn_Print_Titles</vt:lpstr>
      <vt:lpstr>'10'!Excel_BuiltIn_Print_Titles</vt:lpstr>
      <vt:lpstr>'11'!Excel_BuiltIn_Print_Titles</vt:lpstr>
      <vt:lpstr>'12'!Excel_BuiltIn_Print_Titles</vt:lpstr>
      <vt:lpstr>'13'!Excel_BuiltIn_Print_Titles</vt:lpstr>
      <vt:lpstr>'2'!Excel_BuiltIn_Print_Titles</vt:lpstr>
      <vt:lpstr>'3'!Excel_BuiltIn_Print_Titles</vt:lpstr>
      <vt:lpstr>'4'!Excel_BuiltIn_Print_Titles</vt:lpstr>
      <vt:lpstr>'5'!Excel_BuiltIn_Print_Titles</vt:lpstr>
      <vt:lpstr>'6'!Excel_BuiltIn_Print_Titles</vt:lpstr>
      <vt:lpstr>'7'!Excel_BuiltIn_Print_Titles</vt:lpstr>
      <vt:lpstr>'8'!Excel_BuiltIn_Print_Titles</vt:lpstr>
      <vt:lpstr>'9'!Excel_BuiltIn_Print_Titles</vt:lpstr>
      <vt:lpstr>'1'!Print_Titles</vt:lpstr>
      <vt:lpstr>'10'!Print_Titles</vt:lpstr>
      <vt:lpstr>'11'!Print_Titles</vt:lpstr>
      <vt:lpstr>'12'!Print_Titles</vt:lpstr>
      <vt:lpstr>'13'!Print_Titles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ВидИзд</vt:lpstr>
      <vt:lpstr>ВидНИР</vt:lpstr>
      <vt:lpstr>Должность</vt:lpstr>
      <vt:lpstr>Звание</vt:lpstr>
      <vt:lpstr>Издатель</vt:lpstr>
      <vt:lpstr>Источник</vt:lpstr>
      <vt:lpstr>Категория</vt:lpstr>
      <vt:lpstr>Место</vt:lpstr>
      <vt:lpstr>'1'!Область_печати</vt:lpstr>
      <vt:lpstr>'10'!Область_печати</vt:lpstr>
      <vt:lpstr>'11'!Область_печати</vt:lpstr>
      <vt:lpstr>'12'!Область_печати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'8'!Область_печати</vt:lpstr>
      <vt:lpstr>'9'!Область_печати</vt:lpstr>
      <vt:lpstr>Тит_лист!Область_печати</vt:lpstr>
      <vt:lpstr>Рецензия</vt:lpstr>
      <vt:lpstr>Статус</vt:lpstr>
      <vt:lpstr>Статус2</vt:lpstr>
      <vt:lpstr>Степень</vt:lpstr>
      <vt:lpstr>Тип</vt:lpstr>
      <vt:lpstr>Уровень</vt:lpstr>
      <vt:lpstr>Уровень2</vt:lpstr>
      <vt:lpstr>Уровень3</vt:lpstr>
      <vt:lpstr>Уровень4</vt:lpstr>
      <vt:lpstr>Уровень5</vt:lpstr>
      <vt:lpstr>Участники</vt:lpstr>
      <vt:lpstr>Участники2</vt:lpstr>
      <vt:lpstr>Форма</vt:lpstr>
      <vt:lpstr>Форма2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 о научной деятельности кафедры ЧГУ</dc:title>
  <dc:subject>СМК Ф</dc:subject>
  <dc:creator>Б.К. Федоров</dc:creator>
  <dc:description/>
  <cp:lastModifiedBy>Студент</cp:lastModifiedBy>
  <cp:revision>2</cp:revision>
  <cp:lastPrinted>2025-02-01T08:50:43Z</cp:lastPrinted>
  <dcterms:created xsi:type="dcterms:W3CDTF">2012-12-02T20:29:16Z</dcterms:created>
  <dcterms:modified xsi:type="dcterms:W3CDTF">2026-05-19T04:04:45Z</dcterms:modified>
  <dc:language>en-US</dc:language>
</cp:coreProperties>
</file>